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 tabRatio="866"/>
  </bookViews>
  <sheets>
    <sheet name="Приложение № 2" sheetId="21" r:id="rId1"/>
    <sheet name="Приложение № 3" sheetId="15" r:id="rId2"/>
    <sheet name="Приложение № 4" sheetId="24" r:id="rId3"/>
    <sheet name="Приложение № 5" sheetId="9" r:id="rId4"/>
    <sheet name="Приложение № 6" sheetId="17" r:id="rId5"/>
  </sheets>
  <externalReferences>
    <externalReference r:id="rId6"/>
    <externalReference r:id="rId7"/>
    <externalReference r:id="rId8"/>
  </externalReferences>
  <definedNames>
    <definedName name="_1Excel_BuiltIn_Print_Titles_4_1" localSheetId="0">#REF!</definedName>
    <definedName name="_1Excel_BuiltIn_Print_Titles_4_1" localSheetId="2">#REF!</definedName>
    <definedName name="_1Excel_BuiltIn_Print_Titles_4_1" localSheetId="3">#REF!</definedName>
    <definedName name="_1Excel_BuiltIn_Print_Titles_4_1">#REF!</definedName>
    <definedName name="_1Excel_BuiltIn_Print_Titles_8_1" localSheetId="0">(#REF!,#REF!)</definedName>
    <definedName name="_1Excel_BuiltIn_Print_Titles_8_1" localSheetId="2">(#REF!,#REF!)</definedName>
    <definedName name="_1Excel_BuiltIn_Print_Titles_8_1" localSheetId="3">(#REF!,#REF!)</definedName>
    <definedName name="_1Excel_BuiltIn_Print_Titles_8_1">(#REF!,#REF!)</definedName>
    <definedName name="_2Excel_BuiltIn_Print_Titles_8_1" localSheetId="0">(#REF!,#REF!)</definedName>
    <definedName name="_2Excel_BuiltIn_Print_Titles_8_1" localSheetId="3">(#REF!,#REF!)</definedName>
    <definedName name="_2Excel_BuiltIn_Print_Titles_8_1">(#REF!,#REF!)</definedName>
    <definedName name="_4Excel_BuiltIn_Print_Titles_8_1" localSheetId="0">(#REF!,#REF!)</definedName>
    <definedName name="_4Excel_BuiltIn_Print_Titles_8_1" localSheetId="3">(#REF!,#REF!)</definedName>
    <definedName name="_4Excel_BuiltIn_Print_Titles_8_1">(#REF!,#REF!)</definedName>
    <definedName name="_xlnm._FilterDatabase" localSheetId="0" hidden="1">'Приложение № 2'!$A$11:$N$444</definedName>
    <definedName name="_xlnm._FilterDatabase" localSheetId="1" hidden="1">'Приложение № 3'!$A$9:$J$190</definedName>
    <definedName name="AccessDatabase" hidden="1">"C:\db1.mdb"</definedName>
    <definedName name="akt_nom" localSheetId="0">#REF!</definedName>
    <definedName name="akt_nom" localSheetId="3">#REF!</definedName>
    <definedName name="akt_nom">#REF!</definedName>
    <definedName name="beg" localSheetId="0">#REF!</definedName>
    <definedName name="beg" localSheetId="3">#REF!</definedName>
    <definedName name="beg">#REF!</definedName>
    <definedName name="begin" localSheetId="0">#REF!</definedName>
    <definedName name="begin" localSheetId="3">#REF!</definedName>
    <definedName name="begin">#REF!</definedName>
    <definedName name="dgdg" localSheetId="0">(#REF!,#REF!)</definedName>
    <definedName name="dgdg" localSheetId="3">(#REF!,#REF!)</definedName>
    <definedName name="dgdg">(#REF!,#REF!)</definedName>
    <definedName name="Excel_BuiltIn_Print_Titles_1" localSheetId="0">#REF!</definedName>
    <definedName name="Excel_BuiltIn_Print_Titles_1" localSheetId="3">#REF!</definedName>
    <definedName name="Excel_BuiltIn_Print_Titles_1">#REF!</definedName>
    <definedName name="name_mo" localSheetId="0">#REF!</definedName>
    <definedName name="name_mo" localSheetId="3">#REF!</definedName>
    <definedName name="name_mo">#REF!</definedName>
    <definedName name="njknljl" localSheetId="0">#REF!</definedName>
    <definedName name="njknljl" localSheetId="3">#REF!</definedName>
    <definedName name="njknljl">#REF!</definedName>
    <definedName name="qwedqfd" localSheetId="0">(#REF!,#REF!)</definedName>
    <definedName name="qwedqfd" localSheetId="3">(#REF!,#REF!)</definedName>
    <definedName name="qwedqfd">(#REF!,#REF!)</definedName>
    <definedName name="reestr" localSheetId="0">#REF!</definedName>
    <definedName name="reestr" localSheetId="3">#REF!</definedName>
    <definedName name="reestr">#REF!</definedName>
    <definedName name="Ryb">[1]Сентябрь_свод!$A$1:$H$118</definedName>
    <definedName name="s" localSheetId="0">#REF!</definedName>
    <definedName name="s" localSheetId="3">#REF!</definedName>
    <definedName name="s">#REF!</definedName>
    <definedName name="tit" localSheetId="0">#REF!</definedName>
    <definedName name="tit" localSheetId="3">#REF!</definedName>
    <definedName name="tit">#REF!</definedName>
    <definedName name="А1" localSheetId="0">#REF!</definedName>
    <definedName name="А1" localSheetId="3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 localSheetId="3">#REF!</definedName>
    <definedName name="апраоаоаоа">#REF!</definedName>
    <definedName name="_xlnm.Database" localSheetId="0">#REF!</definedName>
    <definedName name="_xlnm.Database" localSheetId="3">#REF!</definedName>
    <definedName name="_xlnm.Database">#REF!</definedName>
    <definedName name="д" localSheetId="0">#REF!</definedName>
    <definedName name="д" localSheetId="3">#REF!</definedName>
    <definedName name="д">#REF!</definedName>
    <definedName name="зщ">[3]Сентябрь_свод!$A$1:$H$118</definedName>
    <definedName name="ипр" localSheetId="0">#REF!</definedName>
    <definedName name="ипр" localSheetId="3">#REF!</definedName>
    <definedName name="ипр">#REF!</definedName>
    <definedName name="лдл" localSheetId="0">#REF!</definedName>
    <definedName name="лдл" localSheetId="3">#REF!</definedName>
    <definedName name="лдл">#REF!</definedName>
    <definedName name="о">[3]Сентябрь_свод!$A$1:$H$118</definedName>
    <definedName name="_xlnm.Print_Area" localSheetId="0">#REF!</definedName>
    <definedName name="_xlnm.Print_Area" localSheetId="3">'Приложение № 5'!$A$6:$U$65</definedName>
    <definedName name="_xlnm.Print_Area">#REF!</definedName>
    <definedName name="ор" localSheetId="0">#REF!</definedName>
    <definedName name="ор" localSheetId="3">#REF!</definedName>
    <definedName name="ор">#REF!</definedName>
    <definedName name="пеее" localSheetId="0">#REF!</definedName>
    <definedName name="пеее" localSheetId="3">#REF!</definedName>
    <definedName name="пеее">#REF!</definedName>
    <definedName name="пр" localSheetId="0">#REF!</definedName>
    <definedName name="пр" localSheetId="3">#REF!</definedName>
    <definedName name="пр">#REF!</definedName>
    <definedName name="при" localSheetId="0">#REF!</definedName>
    <definedName name="при" localSheetId="3">#REF!</definedName>
    <definedName name="при">#REF!</definedName>
    <definedName name="прил" localSheetId="0">#REF!</definedName>
    <definedName name="прил" localSheetId="3">#REF!</definedName>
    <definedName name="прил">#REF!</definedName>
    <definedName name="расчет1" localSheetId="0">#REF!</definedName>
    <definedName name="расчет1" localSheetId="3">#REF!</definedName>
    <definedName name="расчет1">#REF!</definedName>
    <definedName name="реестр" localSheetId="0">#REF!</definedName>
    <definedName name="реестр" localSheetId="3">#REF!</definedName>
    <definedName name="реестр">#REF!</definedName>
    <definedName name="решение" localSheetId="0">#REF!</definedName>
    <definedName name="решение" localSheetId="3">#REF!</definedName>
    <definedName name="решение">#REF!</definedName>
    <definedName name="ро" localSheetId="0">#REF!</definedName>
    <definedName name="ро" localSheetId="3">#REF!</definedName>
    <definedName name="ро">#REF!</definedName>
    <definedName name="що" localSheetId="0">#REF!</definedName>
    <definedName name="що" localSheetId="3">#REF!</definedName>
    <definedName name="що">#REF!</definedName>
    <definedName name="яяяя" localSheetId="0">(#REF!,#REF!)</definedName>
    <definedName name="яяяя" localSheetId="3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8" i="24" l="1"/>
  <c r="M160" i="21" l="1"/>
  <c r="J160" i="21"/>
  <c r="J60" i="15" l="1"/>
  <c r="I60" i="15"/>
  <c r="J59" i="15"/>
  <c r="I59" i="15"/>
  <c r="J229" i="15"/>
  <c r="J228" i="15"/>
  <c r="J220" i="15"/>
  <c r="J215" i="15" s="1"/>
  <c r="O215" i="15"/>
  <c r="N215" i="15"/>
  <c r="M215" i="15"/>
  <c r="L215" i="15"/>
  <c r="K215" i="15"/>
  <c r="I215" i="15"/>
  <c r="O214" i="15"/>
  <c r="N214" i="15"/>
  <c r="M214" i="15"/>
  <c r="L214" i="15"/>
  <c r="K214" i="15"/>
  <c r="I214" i="15"/>
  <c r="J73" i="15"/>
  <c r="I73" i="15"/>
  <c r="J183" i="15"/>
  <c r="I183" i="15"/>
  <c r="I164" i="15"/>
  <c r="J146" i="15"/>
  <c r="I146" i="15"/>
  <c r="I132" i="15"/>
  <c r="I122" i="15"/>
  <c r="J117" i="15"/>
  <c r="I117" i="15"/>
  <c r="J100" i="15"/>
  <c r="I100" i="15"/>
  <c r="J95" i="15"/>
  <c r="I95" i="15"/>
  <c r="I88" i="15"/>
  <c r="J30" i="15"/>
  <c r="I30" i="15"/>
  <c r="J28" i="15"/>
  <c r="I28" i="15"/>
  <c r="I20" i="15"/>
  <c r="I206" i="15" l="1"/>
  <c r="J202" i="15"/>
  <c r="I202" i="15"/>
  <c r="D202" i="15"/>
  <c r="J200" i="15"/>
  <c r="I200" i="15"/>
  <c r="D200" i="15"/>
  <c r="I199" i="15"/>
  <c r="J198" i="15"/>
  <c r="I198" i="15"/>
  <c r="D198" i="15"/>
  <c r="J196" i="15"/>
  <c r="I196" i="15"/>
  <c r="D196" i="15"/>
  <c r="J194" i="15"/>
  <c r="I194" i="15"/>
  <c r="D194" i="15"/>
  <c r="J193" i="15"/>
  <c r="I193" i="15"/>
  <c r="I192" i="15"/>
  <c r="D192" i="15"/>
  <c r="J190" i="15"/>
  <c r="I190" i="15"/>
  <c r="D190" i="15"/>
  <c r="D189" i="15"/>
  <c r="J188" i="15"/>
  <c r="I188" i="15"/>
  <c r="D188" i="15"/>
  <c r="J187" i="15"/>
  <c r="I187" i="15"/>
  <c r="I186" i="15" s="1"/>
  <c r="D186" i="15"/>
  <c r="D187" i="15" s="1"/>
  <c r="B185" i="15"/>
  <c r="J184" i="15"/>
  <c r="I184" i="15"/>
  <c r="D184" i="15"/>
  <c r="D183" i="15"/>
  <c r="J182" i="15"/>
  <c r="I182" i="15"/>
  <c r="D182" i="15"/>
  <c r="D180" i="15"/>
  <c r="D181" i="15" s="1"/>
  <c r="B179" i="15"/>
  <c r="J178" i="15"/>
  <c r="J175" i="15"/>
  <c r="I175" i="15"/>
  <c r="D175" i="15"/>
  <c r="D176" i="15" s="1"/>
  <c r="D177" i="15" s="1"/>
  <c r="B174" i="15"/>
  <c r="J173" i="15"/>
  <c r="I173" i="15"/>
  <c r="D173" i="15"/>
  <c r="C173" i="15" s="1"/>
  <c r="B172" i="15"/>
  <c r="J171" i="15"/>
  <c r="I171" i="15"/>
  <c r="D171" i="15"/>
  <c r="J170" i="15"/>
  <c r="I170" i="15"/>
  <c r="I169" i="15" s="1"/>
  <c r="D169" i="15"/>
  <c r="D170" i="15" s="1"/>
  <c r="D168" i="15"/>
  <c r="B167" i="15"/>
  <c r="J165" i="15"/>
  <c r="I165" i="15"/>
  <c r="D165" i="15"/>
  <c r="D166" i="15" s="1"/>
  <c r="D164" i="15"/>
  <c r="B163" i="15"/>
  <c r="J162" i="15"/>
  <c r="I162" i="15"/>
  <c r="D162" i="15"/>
  <c r="B161" i="15"/>
  <c r="J160" i="15"/>
  <c r="I160" i="15"/>
  <c r="D158" i="15"/>
  <c r="D159" i="15" s="1"/>
  <c r="D160" i="15" s="1"/>
  <c r="D157" i="15"/>
  <c r="B156" i="15"/>
  <c r="J155" i="15"/>
  <c r="I155" i="15"/>
  <c r="D155" i="15"/>
  <c r="D152" i="15"/>
  <c r="D153" i="15" s="1"/>
  <c r="D154" i="15" s="1"/>
  <c r="B151" i="15"/>
  <c r="J150" i="15"/>
  <c r="I150" i="15"/>
  <c r="D150" i="15"/>
  <c r="J148" i="15"/>
  <c r="I148" i="15"/>
  <c r="D148" i="15"/>
  <c r="D149" i="15" s="1"/>
  <c r="B147" i="15"/>
  <c r="J145" i="15"/>
  <c r="I145" i="15"/>
  <c r="D145" i="15"/>
  <c r="D146" i="15" s="1"/>
  <c r="B144" i="15"/>
  <c r="D141" i="15"/>
  <c r="D142" i="15" s="1"/>
  <c r="D143" i="15" s="1"/>
  <c r="B140" i="15"/>
  <c r="D138" i="15"/>
  <c r="D139" i="15" s="1"/>
  <c r="B137" i="15"/>
  <c r="J136" i="15"/>
  <c r="I136" i="15"/>
  <c r="D136" i="15"/>
  <c r="J134" i="15"/>
  <c r="I134" i="15"/>
  <c r="D134" i="15"/>
  <c r="D135" i="15" s="1"/>
  <c r="J131" i="15"/>
  <c r="I131" i="15"/>
  <c r="D131" i="15"/>
  <c r="D132" i="15" s="1"/>
  <c r="D133" i="15" s="1"/>
  <c r="J129" i="15"/>
  <c r="J127" i="15" s="1"/>
  <c r="I129" i="15"/>
  <c r="I127" i="15" s="1"/>
  <c r="D129" i="15"/>
  <c r="D130" i="15" s="1"/>
  <c r="B128" i="15"/>
  <c r="D127" i="15"/>
  <c r="D126" i="15"/>
  <c r="D125" i="15"/>
  <c r="D124" i="15"/>
  <c r="J123" i="15"/>
  <c r="I123" i="15"/>
  <c r="D123" i="15"/>
  <c r="J121" i="15"/>
  <c r="I121" i="15"/>
  <c r="D121" i="15"/>
  <c r="D122" i="15" s="1"/>
  <c r="D119" i="15"/>
  <c r="D120" i="15" s="1"/>
  <c r="B118" i="15"/>
  <c r="J115" i="15"/>
  <c r="D115" i="15"/>
  <c r="D116" i="15" s="1"/>
  <c r="D117" i="15" s="1"/>
  <c r="J114" i="15"/>
  <c r="B114" i="15"/>
  <c r="I111" i="15"/>
  <c r="D111" i="15"/>
  <c r="D113" i="15" s="1"/>
  <c r="J110" i="15"/>
  <c r="J108" i="15"/>
  <c r="D107" i="15"/>
  <c r="D108" i="15" s="1"/>
  <c r="D109" i="15" s="1"/>
  <c r="B106" i="15"/>
  <c r="I105" i="15"/>
  <c r="D105" i="15"/>
  <c r="J104" i="15"/>
  <c r="J102" i="15"/>
  <c r="I101" i="15"/>
  <c r="D101" i="15"/>
  <c r="D102" i="15" s="1"/>
  <c r="D103" i="15" s="1"/>
  <c r="B100" i="15"/>
  <c r="J98" i="15"/>
  <c r="I98" i="15"/>
  <c r="D98" i="15"/>
  <c r="C98" i="15" s="1"/>
  <c r="B97" i="15"/>
  <c r="D96" i="15"/>
  <c r="B95" i="15"/>
  <c r="J93" i="15"/>
  <c r="I93" i="15"/>
  <c r="D93" i="15"/>
  <c r="D94" i="15" s="1"/>
  <c r="J91" i="15"/>
  <c r="D91" i="15"/>
  <c r="D92" i="15" s="1"/>
  <c r="B90" i="15"/>
  <c r="J88" i="15"/>
  <c r="J86" i="15"/>
  <c r="I81" i="15"/>
  <c r="D81" i="15"/>
  <c r="D82" i="15" s="1"/>
  <c r="D83" i="15" s="1"/>
  <c r="D84" i="15" s="1"/>
  <c r="D85" i="15" s="1"/>
  <c r="J80" i="15"/>
  <c r="I80" i="15"/>
  <c r="B80" i="15"/>
  <c r="D75" i="15"/>
  <c r="D76" i="15" s="1"/>
  <c r="D77" i="15" s="1"/>
  <c r="D78" i="15" s="1"/>
  <c r="B74" i="15"/>
  <c r="J72" i="15"/>
  <c r="I72" i="15"/>
  <c r="D72" i="15"/>
  <c r="D73" i="15" s="1"/>
  <c r="B71" i="15"/>
  <c r="J69" i="15"/>
  <c r="I69" i="15"/>
  <c r="D69" i="15"/>
  <c r="D70" i="15" s="1"/>
  <c r="B68" i="15"/>
  <c r="J67" i="15"/>
  <c r="I67" i="15"/>
  <c r="D67" i="15"/>
  <c r="B66" i="15"/>
  <c r="J65" i="15"/>
  <c r="I65" i="15"/>
  <c r="I64" i="15" s="1"/>
  <c r="D64" i="15"/>
  <c r="D65" i="15" s="1"/>
  <c r="J63" i="15"/>
  <c r="B63" i="15"/>
  <c r="J62" i="15"/>
  <c r="I61" i="15"/>
  <c r="D61" i="15"/>
  <c r="D62" i="15" s="1"/>
  <c r="B60" i="15"/>
  <c r="J58" i="15"/>
  <c r="I58" i="15"/>
  <c r="D58" i="15"/>
  <c r="D59" i="15" s="1"/>
  <c r="B57" i="15"/>
  <c r="J56" i="15"/>
  <c r="I56" i="15"/>
  <c r="D56" i="15"/>
  <c r="D55" i="15"/>
  <c r="B54" i="15"/>
  <c r="J53" i="15"/>
  <c r="I53" i="15"/>
  <c r="D53" i="15"/>
  <c r="B52" i="15"/>
  <c r="D50" i="15"/>
  <c r="D51" i="15" s="1"/>
  <c r="J47" i="15"/>
  <c r="I47" i="15"/>
  <c r="D47" i="15"/>
  <c r="D48" i="15" s="1"/>
  <c r="D49" i="15" s="1"/>
  <c r="D44" i="15"/>
  <c r="D45" i="15" s="1"/>
  <c r="D46" i="15" s="1"/>
  <c r="J43" i="15"/>
  <c r="B43" i="15"/>
  <c r="J42" i="15"/>
  <c r="I40" i="15"/>
  <c r="D40" i="15"/>
  <c r="D41" i="15" s="1"/>
  <c r="D42" i="15" s="1"/>
  <c r="J36" i="15"/>
  <c r="I36" i="15"/>
  <c r="D36" i="15"/>
  <c r="D38" i="15" s="1"/>
  <c r="D39" i="15" s="1"/>
  <c r="B35" i="15"/>
  <c r="D34" i="15"/>
  <c r="J33" i="15"/>
  <c r="D31" i="15"/>
  <c r="D32" i="15" s="1"/>
  <c r="D33" i="15" s="1"/>
  <c r="I29" i="15"/>
  <c r="B30" i="15"/>
  <c r="J29" i="15"/>
  <c r="D29" i="15"/>
  <c r="B28" i="15"/>
  <c r="J27" i="15"/>
  <c r="I27" i="15"/>
  <c r="D27" i="15"/>
  <c r="B26" i="15"/>
  <c r="J24" i="15"/>
  <c r="I24" i="15"/>
  <c r="D24" i="15"/>
  <c r="D25" i="15" s="1"/>
  <c r="B23" i="15"/>
  <c r="J22" i="15"/>
  <c r="I22" i="15"/>
  <c r="D22" i="15"/>
  <c r="B21" i="15"/>
  <c r="J16" i="15"/>
  <c r="I16" i="15"/>
  <c r="D16" i="15"/>
  <c r="D17" i="15" s="1"/>
  <c r="D18" i="15" s="1"/>
  <c r="D19" i="15" s="1"/>
  <c r="D20" i="15" s="1"/>
  <c r="J15" i="15"/>
  <c r="D15" i="15"/>
  <c r="J13" i="15"/>
  <c r="D13" i="15"/>
  <c r="I12" i="15"/>
  <c r="D12" i="15"/>
  <c r="J10" i="15"/>
  <c r="I10" i="15"/>
  <c r="D10" i="15"/>
  <c r="D11" i="15" s="1"/>
  <c r="J192" i="15" l="1"/>
  <c r="J64" i="15"/>
  <c r="J105" i="15"/>
  <c r="J186" i="15"/>
  <c r="J12" i="15"/>
  <c r="I158" i="15"/>
  <c r="J101" i="15"/>
  <c r="J214" i="15"/>
  <c r="I31" i="15"/>
  <c r="J81" i="15"/>
  <c r="J169" i="15"/>
  <c r="J61" i="15"/>
  <c r="J31" i="15"/>
  <c r="D99" i="15"/>
  <c r="C99" i="15" s="1"/>
  <c r="J75" i="15"/>
  <c r="J40" i="15"/>
  <c r="J111" i="15"/>
  <c r="J158" i="15"/>
  <c r="I75" i="15"/>
  <c r="D110" i="15"/>
  <c r="C109" i="15"/>
  <c r="C85" i="15"/>
  <c r="D86" i="15"/>
  <c r="D87" i="15" s="1"/>
  <c r="D88" i="15" s="1"/>
  <c r="D89" i="15" s="1"/>
  <c r="D104" i="15"/>
  <c r="C103" i="15"/>
  <c r="J204" i="15" l="1"/>
  <c r="I204" i="15"/>
  <c r="I205" i="15" l="1"/>
  <c r="J441" i="21" l="1"/>
  <c r="J438" i="21"/>
  <c r="J436" i="21"/>
  <c r="J422" i="21"/>
  <c r="I422" i="21"/>
  <c r="J418" i="21"/>
  <c r="J357" i="21"/>
  <c r="M184" i="21" l="1"/>
  <c r="J184" i="21"/>
  <c r="N184" i="21"/>
  <c r="K184" i="21"/>
  <c r="N71" i="21"/>
  <c r="K71" i="21"/>
  <c r="M78" i="21"/>
  <c r="J78" i="21"/>
  <c r="M214" i="21"/>
  <c r="J214" i="21"/>
  <c r="N162" i="21"/>
  <c r="K162" i="21" l="1"/>
  <c r="M165" i="21"/>
  <c r="M167" i="21" s="1"/>
  <c r="J166" i="21"/>
  <c r="J167" i="21" s="1"/>
  <c r="N308" i="21"/>
  <c r="K308" i="21"/>
  <c r="N252" i="21"/>
  <c r="K252" i="21"/>
  <c r="D82" i="24" l="1"/>
  <c r="E82" i="24" l="1"/>
  <c r="C82" i="24"/>
  <c r="M29" i="21" l="1"/>
  <c r="M130" i="21"/>
  <c r="M272" i="21"/>
  <c r="J384" i="21" l="1"/>
  <c r="J366" i="21"/>
  <c r="J365" i="21"/>
  <c r="J364" i="21"/>
  <c r="J363" i="21"/>
  <c r="J362" i="21"/>
  <c r="J361" i="21"/>
  <c r="N260" i="21"/>
  <c r="N255" i="21"/>
  <c r="K260" i="21" l="1"/>
  <c r="K255" i="21"/>
  <c r="J393" i="21" l="1"/>
  <c r="J392" i="21"/>
  <c r="J390" i="21"/>
  <c r="J401" i="21"/>
  <c r="J400" i="21"/>
  <c r="J399" i="21"/>
  <c r="J398" i="21"/>
  <c r="J397" i="21"/>
  <c r="J396" i="21"/>
  <c r="J395" i="21"/>
  <c r="N54" i="21"/>
  <c r="K54" i="21"/>
  <c r="M157" i="21"/>
  <c r="J157" i="21"/>
  <c r="N170" i="21"/>
  <c r="M335" i="21"/>
  <c r="J335" i="21"/>
  <c r="N306" i="21" l="1"/>
  <c r="J391" i="21"/>
  <c r="M327" i="21"/>
  <c r="L326" i="21"/>
  <c r="J327" i="21"/>
  <c r="K327" i="21"/>
  <c r="N327" i="21"/>
  <c r="I326" i="21"/>
  <c r="J16" i="21" l="1"/>
  <c r="M304" i="21"/>
  <c r="J304" i="21"/>
  <c r="J306" i="21"/>
  <c r="K306" i="21"/>
  <c r="L305" i="21"/>
  <c r="I305" i="21"/>
  <c r="M306" i="21" l="1"/>
  <c r="J272" i="21"/>
  <c r="J177" i="21" l="1"/>
  <c r="I65" i="9" l="1"/>
  <c r="L65" i="9"/>
  <c r="M65" i="9"/>
  <c r="P65" i="9"/>
  <c r="Q65" i="9"/>
  <c r="R65" i="9"/>
  <c r="S65" i="9"/>
  <c r="T65" i="9"/>
  <c r="U65" i="9"/>
  <c r="F65" i="9"/>
  <c r="J336" i="21" l="1"/>
  <c r="J333" i="21"/>
  <c r="J330" i="21"/>
  <c r="J321" i="21"/>
  <c r="J311" i="21"/>
  <c r="J302" i="21"/>
  <c r="J297" i="21"/>
  <c r="J289" i="21"/>
  <c r="J280" i="21"/>
  <c r="J269" i="21"/>
  <c r="J266" i="21"/>
  <c r="J238" i="21"/>
  <c r="J231" i="21"/>
  <c r="J218" i="21"/>
  <c r="J212" i="21"/>
  <c r="J206" i="21"/>
  <c r="J197" i="21"/>
  <c r="J187" i="21"/>
  <c r="J178" i="21"/>
  <c r="J171" i="21"/>
  <c r="J158" i="21"/>
  <c r="J155" i="21"/>
  <c r="J143" i="21"/>
  <c r="J133" i="21"/>
  <c r="J120" i="21"/>
  <c r="J111" i="21"/>
  <c r="J101" i="21"/>
  <c r="J89" i="21"/>
  <c r="J79" i="21"/>
  <c r="J76" i="21"/>
  <c r="J66" i="21"/>
  <c r="J55" i="21"/>
  <c r="J51" i="21"/>
  <c r="J43" i="21"/>
  <c r="J39" i="21"/>
  <c r="J34" i="21"/>
  <c r="J19" i="21"/>
  <c r="J275" i="21" l="1"/>
  <c r="J337" i="21" l="1"/>
  <c r="K65" i="9"/>
  <c r="D65" i="9" l="1"/>
  <c r="E65" i="9"/>
  <c r="G65" i="9"/>
  <c r="H65" i="9"/>
  <c r="J65" i="9"/>
  <c r="N65" i="9"/>
  <c r="O65" i="9"/>
  <c r="D449" i="24" l="1"/>
  <c r="C449" i="24"/>
  <c r="F408" i="24"/>
  <c r="E408" i="24"/>
  <c r="D408" i="24"/>
  <c r="C408" i="24"/>
  <c r="F364" i="24"/>
  <c r="E364" i="24"/>
  <c r="D364" i="24"/>
  <c r="C364" i="24"/>
  <c r="D313" i="24"/>
  <c r="D253" i="24"/>
  <c r="C204" i="24"/>
  <c r="F172" i="24"/>
  <c r="E172" i="24"/>
  <c r="C172" i="24"/>
  <c r="F136" i="24"/>
  <c r="E136" i="24"/>
  <c r="C135" i="24"/>
  <c r="C134" i="24"/>
  <c r="C133" i="24"/>
  <c r="C132" i="24"/>
  <c r="C131" i="24"/>
  <c r="C130" i="24"/>
  <c r="C129" i="24"/>
  <c r="C128" i="24"/>
  <c r="C127" i="24"/>
  <c r="C126" i="24"/>
  <c r="C125" i="24"/>
  <c r="C124" i="24"/>
  <c r="C123" i="24"/>
  <c r="C122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6" i="24"/>
  <c r="C94" i="24"/>
  <c r="C93" i="24"/>
  <c r="C92" i="24"/>
  <c r="C91" i="24"/>
  <c r="C90" i="24"/>
  <c r="C89" i="24"/>
  <c r="E84" i="24"/>
  <c r="C84" i="24"/>
  <c r="D84" i="24" l="1"/>
  <c r="J440" i="21" l="1"/>
  <c r="J442" i="21" s="1"/>
  <c r="J435" i="21"/>
  <c r="J425" i="21" l="1"/>
  <c r="J424" i="21"/>
  <c r="J423" i="21"/>
  <c r="J428" i="21" s="1"/>
  <c r="J415" i="21"/>
  <c r="J402" i="21" l="1"/>
  <c r="M41" i="21"/>
  <c r="M42" i="21"/>
  <c r="N74" i="21"/>
  <c r="N75" i="21"/>
  <c r="K173" i="21"/>
  <c r="N173" i="21"/>
  <c r="N177" i="21"/>
  <c r="M321" i="21" l="1"/>
  <c r="N321" i="21"/>
  <c r="L314" i="21"/>
  <c r="I314" i="21"/>
  <c r="C314" i="21"/>
  <c r="J452" i="21" l="1"/>
  <c r="I452" i="21"/>
  <c r="H452" i="21"/>
  <c r="J451" i="21"/>
  <c r="I451" i="21"/>
  <c r="H451" i="21"/>
  <c r="A444" i="21"/>
  <c r="A446" i="21" s="1"/>
  <c r="A447" i="21" s="1"/>
  <c r="A448" i="21" s="1"/>
  <c r="A449" i="21" s="1"/>
  <c r="A450" i="21" s="1"/>
  <c r="A451" i="21" s="1"/>
  <c r="A452" i="21" s="1"/>
  <c r="A453" i="21" s="1"/>
  <c r="A454" i="21" s="1"/>
  <c r="A455" i="21" s="1"/>
  <c r="J437" i="21"/>
  <c r="J433" i="21"/>
  <c r="J421" i="21"/>
  <c r="J417" i="21"/>
  <c r="J414" i="21"/>
  <c r="J409" i="21"/>
  <c r="J394" i="21"/>
  <c r="J389" i="21"/>
  <c r="A341" i="21"/>
  <c r="A342" i="21" s="1"/>
  <c r="A343" i="21" s="1"/>
  <c r="A344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70" i="21" s="1"/>
  <c r="A371" i="21" s="1"/>
  <c r="A372" i="21" s="1"/>
  <c r="A373" i="21" s="1"/>
  <c r="A374" i="21" s="1"/>
  <c r="A381" i="21" s="1"/>
  <c r="A382" i="21" s="1"/>
  <c r="A383" i="21" s="1"/>
  <c r="A384" i="21" s="1"/>
  <c r="A385" i="21" s="1"/>
  <c r="A386" i="21" s="1"/>
  <c r="A387" i="21" s="1"/>
  <c r="A388" i="21" s="1"/>
  <c r="A389" i="21" s="1"/>
  <c r="A390" i="21" s="1"/>
  <c r="A391" i="21" s="1"/>
  <c r="A392" i="21" s="1"/>
  <c r="A393" i="21" s="1"/>
  <c r="A394" i="21" s="1"/>
  <c r="A395" i="21" s="1"/>
  <c r="A396" i="21" s="1"/>
  <c r="A397" i="21" s="1"/>
  <c r="A398" i="21" s="1"/>
  <c r="A402" i="21" s="1"/>
  <c r="A403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0" i="21" s="1"/>
  <c r="A421" i="21" s="1"/>
  <c r="A422" i="21" s="1"/>
  <c r="A423" i="21" s="1"/>
  <c r="A424" i="21" s="1"/>
  <c r="A425" i="21" s="1"/>
  <c r="A428" i="21" s="1"/>
  <c r="A429" i="21" s="1"/>
  <c r="A430" i="21" s="1"/>
  <c r="A431" i="21" s="1"/>
  <c r="A432" i="21" s="1"/>
  <c r="A433" i="21" s="1"/>
  <c r="A434" i="21" s="1"/>
  <c r="A435" i="21" s="1"/>
  <c r="I339" i="21"/>
  <c r="A337" i="21"/>
  <c r="A338" i="21" s="1"/>
  <c r="A339" i="21" s="1"/>
  <c r="A340" i="21" s="1"/>
  <c r="N336" i="21"/>
  <c r="M336" i="21"/>
  <c r="K336" i="21"/>
  <c r="C336" i="21"/>
  <c r="L335" i="21"/>
  <c r="I335" i="21"/>
  <c r="C335" i="21"/>
  <c r="C334" i="21"/>
  <c r="N333" i="21"/>
  <c r="M333" i="21"/>
  <c r="K333" i="21"/>
  <c r="C333" i="21"/>
  <c r="L332" i="21"/>
  <c r="I332" i="21"/>
  <c r="C332" i="21"/>
  <c r="N330" i="21"/>
  <c r="M330" i="21"/>
  <c r="C330" i="21"/>
  <c r="L329" i="21"/>
  <c r="I329" i="21"/>
  <c r="C329" i="21"/>
  <c r="C327" i="21"/>
  <c r="L325" i="21"/>
  <c r="I325" i="21"/>
  <c r="C325" i="21"/>
  <c r="L324" i="21"/>
  <c r="I324" i="21"/>
  <c r="C324" i="21"/>
  <c r="L323" i="21"/>
  <c r="I323" i="21"/>
  <c r="C323" i="21"/>
  <c r="K321" i="21"/>
  <c r="C321" i="21"/>
  <c r="L320" i="21"/>
  <c r="I320" i="21"/>
  <c r="C320" i="21"/>
  <c r="L319" i="21"/>
  <c r="I319" i="21"/>
  <c r="C319" i="21"/>
  <c r="L318" i="21"/>
  <c r="I318" i="21"/>
  <c r="C318" i="21"/>
  <c r="L317" i="21"/>
  <c r="I317" i="21"/>
  <c r="C317" i="21"/>
  <c r="L316" i="21"/>
  <c r="I316" i="21"/>
  <c r="C316" i="21"/>
  <c r="L315" i="21"/>
  <c r="I315" i="21"/>
  <c r="C315" i="21"/>
  <c r="A315" i="21"/>
  <c r="A316" i="21" s="1"/>
  <c r="A317" i="21" s="1"/>
  <c r="A318" i="21" s="1"/>
  <c r="A319" i="21" s="1"/>
  <c r="A320" i="21" s="1"/>
  <c r="A321" i="21" s="1"/>
  <c r="A323" i="21" s="1"/>
  <c r="A324" i="21" s="1"/>
  <c r="A325" i="21" s="1"/>
  <c r="A327" i="21" s="1"/>
  <c r="A329" i="21" s="1"/>
  <c r="A330" i="21" s="1"/>
  <c r="A332" i="21" s="1"/>
  <c r="A333" i="21" s="1"/>
  <c r="A334" i="21" s="1"/>
  <c r="A335" i="21" s="1"/>
  <c r="A336" i="21" s="1"/>
  <c r="L313" i="21"/>
  <c r="I313" i="21"/>
  <c r="C313" i="21"/>
  <c r="A313" i="21"/>
  <c r="C312" i="21"/>
  <c r="A312" i="21"/>
  <c r="N311" i="21"/>
  <c r="K311" i="21"/>
  <c r="C311" i="21"/>
  <c r="M310" i="21"/>
  <c r="I310" i="21"/>
  <c r="C310" i="21"/>
  <c r="A310" i="21"/>
  <c r="A311" i="21" s="1"/>
  <c r="M309" i="21"/>
  <c r="I309" i="21"/>
  <c r="C309" i="21"/>
  <c r="L308" i="21"/>
  <c r="I308" i="21"/>
  <c r="C308" i="21"/>
  <c r="A308" i="21"/>
  <c r="A309" i="21" s="1"/>
  <c r="C307" i="21"/>
  <c r="A307" i="21"/>
  <c r="C306" i="21"/>
  <c r="L304" i="21"/>
  <c r="I304" i="21"/>
  <c r="C304" i="21"/>
  <c r="N302" i="21"/>
  <c r="M302" i="21"/>
  <c r="K302" i="21"/>
  <c r="C302" i="21"/>
  <c r="L301" i="21"/>
  <c r="I301" i="21"/>
  <c r="C301" i="21"/>
  <c r="L300" i="21"/>
  <c r="I300" i="21"/>
  <c r="C300" i="21"/>
  <c r="L299" i="21"/>
  <c r="I299" i="21"/>
  <c r="C299" i="21"/>
  <c r="N297" i="21"/>
  <c r="M297" i="21"/>
  <c r="K297" i="21"/>
  <c r="C297" i="21"/>
  <c r="L296" i="21"/>
  <c r="I296" i="21"/>
  <c r="C296" i="21"/>
  <c r="L295" i="21"/>
  <c r="I295" i="21"/>
  <c r="C295" i="21"/>
  <c r="L294" i="21"/>
  <c r="I294" i="21"/>
  <c r="C294" i="21"/>
  <c r="L293" i="21"/>
  <c r="I293" i="21"/>
  <c r="C293" i="21"/>
  <c r="L292" i="21"/>
  <c r="I292" i="21"/>
  <c r="C292" i="21"/>
  <c r="L291" i="21"/>
  <c r="I291" i="21"/>
  <c r="C291" i="21"/>
  <c r="C290" i="21"/>
  <c r="N289" i="21"/>
  <c r="M289" i="21"/>
  <c r="K289" i="21"/>
  <c r="C289" i="21"/>
  <c r="L288" i="21"/>
  <c r="I288" i="21"/>
  <c r="C288" i="21"/>
  <c r="L287" i="21"/>
  <c r="I287" i="21"/>
  <c r="C287" i="21"/>
  <c r="L286" i="21"/>
  <c r="I286" i="21"/>
  <c r="C286" i="21"/>
  <c r="L285" i="21"/>
  <c r="I285" i="21"/>
  <c r="C285" i="21"/>
  <c r="A285" i="21"/>
  <c r="A286" i="21" s="1"/>
  <c r="A287" i="21" s="1"/>
  <c r="A288" i="21" s="1"/>
  <c r="A289" i="21" s="1"/>
  <c r="A290" i="21" s="1"/>
  <c r="A291" i="21" s="1"/>
  <c r="A292" i="21" s="1"/>
  <c r="A293" i="21" s="1"/>
  <c r="A294" i="21" s="1"/>
  <c r="A295" i="21" s="1"/>
  <c r="A296" i="21" s="1"/>
  <c r="A297" i="21" s="1"/>
  <c r="A299" i="21" s="1"/>
  <c r="A300" i="21" s="1"/>
  <c r="A301" i="21" s="1"/>
  <c r="A302" i="21" s="1"/>
  <c r="A304" i="21" s="1"/>
  <c r="A306" i="21" s="1"/>
  <c r="L284" i="21"/>
  <c r="I284" i="21"/>
  <c r="C284" i="21"/>
  <c r="L283" i="21"/>
  <c r="I283" i="21"/>
  <c r="C283" i="21"/>
  <c r="L282" i="21"/>
  <c r="I282" i="21"/>
  <c r="C282" i="21"/>
  <c r="N280" i="21"/>
  <c r="K280" i="21"/>
  <c r="C280" i="21"/>
  <c r="M279" i="21"/>
  <c r="I279" i="21"/>
  <c r="C279" i="21"/>
  <c r="L278" i="21"/>
  <c r="I278" i="21"/>
  <c r="C278" i="21"/>
  <c r="M277" i="21"/>
  <c r="I277" i="21"/>
  <c r="C277" i="21"/>
  <c r="N275" i="21"/>
  <c r="M275" i="21"/>
  <c r="K275" i="21"/>
  <c r="C275" i="21"/>
  <c r="L274" i="21"/>
  <c r="I274" i="21"/>
  <c r="C274" i="21"/>
  <c r="L273" i="21"/>
  <c r="I273" i="21"/>
  <c r="C273" i="21"/>
  <c r="L272" i="21"/>
  <c r="I272" i="21"/>
  <c r="C272" i="21"/>
  <c r="L271" i="21"/>
  <c r="I271" i="21"/>
  <c r="C271" i="21"/>
  <c r="N269" i="21"/>
  <c r="M269" i="21"/>
  <c r="K269" i="21"/>
  <c r="C269" i="21"/>
  <c r="L268" i="21"/>
  <c r="I268" i="21"/>
  <c r="C268" i="21"/>
  <c r="N266" i="21"/>
  <c r="K266" i="21"/>
  <c r="C266" i="21"/>
  <c r="L265" i="21"/>
  <c r="I265" i="21"/>
  <c r="C265" i="21"/>
  <c r="L264" i="21"/>
  <c r="I264" i="21"/>
  <c r="C264" i="21"/>
  <c r="L263" i="21"/>
  <c r="I263" i="21"/>
  <c r="C263" i="21"/>
  <c r="L262" i="21"/>
  <c r="I262" i="21"/>
  <c r="C262" i="21"/>
  <c r="L261" i="21"/>
  <c r="I261" i="21"/>
  <c r="C261" i="21"/>
  <c r="L260" i="21"/>
  <c r="I260" i="21"/>
  <c r="C260" i="21"/>
  <c r="L259" i="21"/>
  <c r="I259" i="21"/>
  <c r="C259" i="21"/>
  <c r="L258" i="21"/>
  <c r="I258" i="21"/>
  <c r="C258" i="21"/>
  <c r="L257" i="21"/>
  <c r="I257" i="21"/>
  <c r="C257" i="21"/>
  <c r="I256" i="21"/>
  <c r="C256" i="21"/>
  <c r="L255" i="21"/>
  <c r="I255" i="21"/>
  <c r="C255" i="21"/>
  <c r="A255" i="21"/>
  <c r="A256" i="21" s="1"/>
  <c r="A257" i="21" s="1"/>
  <c r="A258" i="21" s="1"/>
  <c r="A259" i="21" s="1"/>
  <c r="A260" i="21" s="1"/>
  <c r="A261" i="21" s="1"/>
  <c r="A262" i="21" s="1"/>
  <c r="A263" i="21" s="1"/>
  <c r="A264" i="21" s="1"/>
  <c r="A265" i="21" s="1"/>
  <c r="A266" i="21" s="1"/>
  <c r="A268" i="21" s="1"/>
  <c r="A269" i="21" s="1"/>
  <c r="A271" i="21" s="1"/>
  <c r="A272" i="21" s="1"/>
  <c r="A273" i="21" s="1"/>
  <c r="A274" i="21" s="1"/>
  <c r="A275" i="21" s="1"/>
  <c r="A277" i="21" s="1"/>
  <c r="A278" i="21" s="1"/>
  <c r="A279" i="21" s="1"/>
  <c r="A280" i="21" s="1"/>
  <c r="A282" i="21" s="1"/>
  <c r="A283" i="21" s="1"/>
  <c r="A284" i="21" s="1"/>
  <c r="L254" i="21"/>
  <c r="I254" i="21"/>
  <c r="C254" i="21"/>
  <c r="L253" i="21"/>
  <c r="I253" i="21"/>
  <c r="C253" i="21"/>
  <c r="L252" i="21"/>
  <c r="I252" i="21"/>
  <c r="C252" i="21"/>
  <c r="L251" i="21"/>
  <c r="I251" i="21"/>
  <c r="C251" i="21"/>
  <c r="L250" i="21"/>
  <c r="I250" i="21"/>
  <c r="C250" i="21"/>
  <c r="L249" i="21"/>
  <c r="I249" i="21"/>
  <c r="C249" i="21"/>
  <c r="L248" i="21"/>
  <c r="I248" i="21"/>
  <c r="C248" i="21"/>
  <c r="L247" i="21"/>
  <c r="I247" i="21"/>
  <c r="C247" i="21"/>
  <c r="L246" i="21"/>
  <c r="I246" i="21"/>
  <c r="C246" i="21"/>
  <c r="L245" i="21"/>
  <c r="I245" i="21"/>
  <c r="C245" i="21"/>
  <c r="L244" i="21"/>
  <c r="I244" i="21"/>
  <c r="C244" i="21"/>
  <c r="L243" i="21"/>
  <c r="I243" i="21"/>
  <c r="C243" i="21"/>
  <c r="I242" i="21"/>
  <c r="C242" i="21"/>
  <c r="L241" i="21"/>
  <c r="I241" i="21"/>
  <c r="C241" i="21"/>
  <c r="A241" i="21"/>
  <c r="A242" i="21" s="1"/>
  <c r="A243" i="21" s="1"/>
  <c r="A244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L240" i="21"/>
  <c r="I240" i="21"/>
  <c r="C240" i="21"/>
  <c r="C239" i="21"/>
  <c r="N238" i="21"/>
  <c r="M238" i="21"/>
  <c r="K238" i="21"/>
  <c r="C238" i="21"/>
  <c r="L237" i="21"/>
  <c r="I237" i="21"/>
  <c r="C237" i="21"/>
  <c r="L236" i="21"/>
  <c r="I236" i="21"/>
  <c r="C236" i="21"/>
  <c r="L235" i="21"/>
  <c r="I235" i="21"/>
  <c r="C235" i="21"/>
  <c r="A235" i="21"/>
  <c r="A236" i="21" s="1"/>
  <c r="A237" i="21" s="1"/>
  <c r="A238" i="21" s="1"/>
  <c r="A239" i="21" s="1"/>
  <c r="A240" i="21" s="1"/>
  <c r="L234" i="21"/>
  <c r="I234" i="21"/>
  <c r="C234" i="21"/>
  <c r="L233" i="21"/>
  <c r="I233" i="21"/>
  <c r="C233" i="21"/>
  <c r="N231" i="21"/>
  <c r="M231" i="21"/>
  <c r="K231" i="21"/>
  <c r="C231" i="21"/>
  <c r="L230" i="21"/>
  <c r="I230" i="21"/>
  <c r="C230" i="21"/>
  <c r="L229" i="21"/>
  <c r="I229" i="21"/>
  <c r="C229" i="21"/>
  <c r="L228" i="21"/>
  <c r="I228" i="21"/>
  <c r="C228" i="21"/>
  <c r="L227" i="21"/>
  <c r="I227" i="21"/>
  <c r="C227" i="21"/>
  <c r="L226" i="21"/>
  <c r="I226" i="21"/>
  <c r="C226" i="21"/>
  <c r="L225" i="21"/>
  <c r="I225" i="21"/>
  <c r="C225" i="21"/>
  <c r="L224" i="21"/>
  <c r="I224" i="21"/>
  <c r="C224" i="21"/>
  <c r="L223" i="21"/>
  <c r="I223" i="21"/>
  <c r="C223" i="21"/>
  <c r="L222" i="21"/>
  <c r="I222" i="21"/>
  <c r="C222" i="21"/>
  <c r="L221" i="21"/>
  <c r="I221" i="21"/>
  <c r="C221" i="21"/>
  <c r="L220" i="21"/>
  <c r="I220" i="21"/>
  <c r="C220" i="21"/>
  <c r="N218" i="21"/>
  <c r="M218" i="21"/>
  <c r="K218" i="21"/>
  <c r="C218" i="21"/>
  <c r="L217" i="21"/>
  <c r="I217" i="21"/>
  <c r="C217" i="21"/>
  <c r="L216" i="21"/>
  <c r="I216" i="21"/>
  <c r="C216" i="21"/>
  <c r="L215" i="21"/>
  <c r="I215" i="21"/>
  <c r="C215" i="21"/>
  <c r="L214" i="21"/>
  <c r="I214" i="21"/>
  <c r="C214" i="21"/>
  <c r="N212" i="21"/>
  <c r="M212" i="21"/>
  <c r="K212" i="21"/>
  <c r="C212" i="21"/>
  <c r="L211" i="21"/>
  <c r="I211" i="21"/>
  <c r="C211" i="21"/>
  <c r="L210" i="21"/>
  <c r="I210" i="21"/>
  <c r="C210" i="21"/>
  <c r="L209" i="21"/>
  <c r="I209" i="21"/>
  <c r="C209" i="21"/>
  <c r="L208" i="21"/>
  <c r="I208" i="21"/>
  <c r="C208" i="21"/>
  <c r="C207" i="21"/>
  <c r="N206" i="21"/>
  <c r="M206" i="21"/>
  <c r="K206" i="21"/>
  <c r="C206" i="21"/>
  <c r="L205" i="21"/>
  <c r="I205" i="21"/>
  <c r="C205" i="21"/>
  <c r="L204" i="21"/>
  <c r="I204" i="21"/>
  <c r="C204" i="21"/>
  <c r="L203" i="21"/>
  <c r="I203" i="21"/>
  <c r="C203" i="21"/>
  <c r="L202" i="21"/>
  <c r="I202" i="21"/>
  <c r="C202" i="21"/>
  <c r="L201" i="21"/>
  <c r="I201" i="21"/>
  <c r="C201" i="21"/>
  <c r="L200" i="21"/>
  <c r="I200" i="21"/>
  <c r="C200" i="21"/>
  <c r="A200" i="21"/>
  <c r="A201" i="21" s="1"/>
  <c r="A202" i="21" s="1"/>
  <c r="A203" i="21" s="1"/>
  <c r="A204" i="21" s="1"/>
  <c r="A205" i="21" s="1"/>
  <c r="A206" i="21" s="1"/>
  <c r="A207" i="21" s="1"/>
  <c r="A208" i="21" s="1"/>
  <c r="A209" i="21" s="1"/>
  <c r="A210" i="21" s="1"/>
  <c r="A211" i="21" s="1"/>
  <c r="A212" i="21" s="1"/>
  <c r="A214" i="21" s="1"/>
  <c r="A215" i="21" s="1"/>
  <c r="A216" i="21" s="1"/>
  <c r="A217" i="21" s="1"/>
  <c r="A218" i="21" s="1"/>
  <c r="A220" i="21" s="1"/>
  <c r="A221" i="21" s="1"/>
  <c r="A222" i="21" s="1"/>
  <c r="A223" i="21" s="1"/>
  <c r="A224" i="21" s="1"/>
  <c r="A225" i="21" s="1"/>
  <c r="A226" i="21" s="1"/>
  <c r="A227" i="21" s="1"/>
  <c r="A228" i="21" s="1"/>
  <c r="A229" i="21" s="1"/>
  <c r="A230" i="21" s="1"/>
  <c r="A231" i="21" s="1"/>
  <c r="A233" i="21" s="1"/>
  <c r="A234" i="21" s="1"/>
  <c r="L199" i="21"/>
  <c r="I199" i="21"/>
  <c r="C199" i="21"/>
  <c r="N197" i="21"/>
  <c r="M197" i="21"/>
  <c r="K197" i="21"/>
  <c r="C197" i="21"/>
  <c r="L196" i="21"/>
  <c r="I196" i="21"/>
  <c r="C196" i="21"/>
  <c r="L195" i="21"/>
  <c r="I195" i="21"/>
  <c r="C195" i="21"/>
  <c r="L194" i="21"/>
  <c r="I194" i="21"/>
  <c r="C194" i="21"/>
  <c r="L193" i="21"/>
  <c r="I193" i="21"/>
  <c r="C193" i="21"/>
  <c r="L192" i="21"/>
  <c r="I192" i="21"/>
  <c r="C192" i="21"/>
  <c r="L191" i="21"/>
  <c r="I191" i="21"/>
  <c r="C191" i="21"/>
  <c r="L190" i="21"/>
  <c r="I190" i="21"/>
  <c r="C190" i="21"/>
  <c r="L189" i="21"/>
  <c r="I189" i="21"/>
  <c r="C189" i="21"/>
  <c r="N187" i="21"/>
  <c r="M187" i="21"/>
  <c r="K187" i="21"/>
  <c r="C187" i="21"/>
  <c r="L186" i="21"/>
  <c r="I186" i="21"/>
  <c r="C186" i="21"/>
  <c r="L185" i="21"/>
  <c r="I185" i="21"/>
  <c r="C185" i="21"/>
  <c r="L184" i="21"/>
  <c r="I184" i="21"/>
  <c r="C184" i="21"/>
  <c r="L183" i="21"/>
  <c r="I183" i="21"/>
  <c r="C183" i="21"/>
  <c r="L182" i="21"/>
  <c r="I182" i="21"/>
  <c r="C182" i="21"/>
  <c r="L181" i="21"/>
  <c r="I181" i="21"/>
  <c r="C181" i="21"/>
  <c r="L180" i="21"/>
  <c r="I180" i="21"/>
  <c r="C180" i="21"/>
  <c r="N178" i="21"/>
  <c r="M178" i="21"/>
  <c r="K178" i="21"/>
  <c r="C178" i="21"/>
  <c r="L177" i="21"/>
  <c r="I177" i="21"/>
  <c r="C177" i="21"/>
  <c r="L176" i="21"/>
  <c r="I176" i="21"/>
  <c r="C176" i="21"/>
  <c r="L175" i="21"/>
  <c r="I175" i="21"/>
  <c r="C175" i="21"/>
  <c r="L174" i="21"/>
  <c r="I174" i="21"/>
  <c r="C174" i="21"/>
  <c r="L173" i="21"/>
  <c r="I173" i="21"/>
  <c r="C173" i="21"/>
  <c r="N171" i="21"/>
  <c r="K171" i="21"/>
  <c r="C171" i="21"/>
  <c r="M170" i="21"/>
  <c r="I170" i="21"/>
  <c r="C170" i="21"/>
  <c r="M169" i="21"/>
  <c r="I169" i="21"/>
  <c r="C169" i="21"/>
  <c r="A169" i="21"/>
  <c r="A170" i="21" s="1"/>
  <c r="A171" i="21" s="1"/>
  <c r="A173" i="21" s="1"/>
  <c r="A174" i="21" s="1"/>
  <c r="A175" i="21" s="1"/>
  <c r="A176" i="21" s="1"/>
  <c r="A177" i="21" s="1"/>
  <c r="A178" i="21" s="1"/>
  <c r="A180" i="21" s="1"/>
  <c r="A181" i="21" s="1"/>
  <c r="A182" i="21" s="1"/>
  <c r="A183" i="21" s="1"/>
  <c r="A184" i="21" s="1"/>
  <c r="A185" i="21" s="1"/>
  <c r="A186" i="21" s="1"/>
  <c r="A187" i="21" s="1"/>
  <c r="A189" i="21" s="1"/>
  <c r="A190" i="21" s="1"/>
  <c r="A191" i="21" s="1"/>
  <c r="A192" i="21" s="1"/>
  <c r="A193" i="21" s="1"/>
  <c r="A194" i="21" s="1"/>
  <c r="A195" i="21" s="1"/>
  <c r="A196" i="21" s="1"/>
  <c r="A197" i="21" s="1"/>
  <c r="A199" i="21" s="1"/>
  <c r="C168" i="21"/>
  <c r="N167" i="21"/>
  <c r="K167" i="21"/>
  <c r="C167" i="21"/>
  <c r="L166" i="21"/>
  <c r="I166" i="21"/>
  <c r="C166" i="21"/>
  <c r="L165" i="21"/>
  <c r="I165" i="21"/>
  <c r="C165" i="21"/>
  <c r="L164" i="21"/>
  <c r="I164" i="21"/>
  <c r="C164" i="21"/>
  <c r="L163" i="21"/>
  <c r="I163" i="21"/>
  <c r="C163" i="21"/>
  <c r="L162" i="21"/>
  <c r="I162" i="21"/>
  <c r="C162" i="21"/>
  <c r="L161" i="21"/>
  <c r="I161" i="21"/>
  <c r="C161" i="21"/>
  <c r="L160" i="21"/>
  <c r="I160" i="21"/>
  <c r="C160" i="21"/>
  <c r="C159" i="21"/>
  <c r="N158" i="21"/>
  <c r="M158" i="21"/>
  <c r="K158" i="21"/>
  <c r="C158" i="21"/>
  <c r="L157" i="21"/>
  <c r="I157" i="21"/>
  <c r="C157" i="21"/>
  <c r="N155" i="21"/>
  <c r="M155" i="21"/>
  <c r="K155" i="21"/>
  <c r="C155" i="21"/>
  <c r="L154" i="21"/>
  <c r="I154" i="21"/>
  <c r="C154" i="21"/>
  <c r="L153" i="21"/>
  <c r="I153" i="21"/>
  <c r="C153" i="21"/>
  <c r="L152" i="21"/>
  <c r="I152" i="21"/>
  <c r="C152" i="21"/>
  <c r="L151" i="21"/>
  <c r="I151" i="21"/>
  <c r="C151" i="21"/>
  <c r="L150" i="21"/>
  <c r="I150" i="21"/>
  <c r="C150" i="21"/>
  <c r="L149" i="21"/>
  <c r="I149" i="21"/>
  <c r="C149" i="21"/>
  <c r="A149" i="21"/>
  <c r="A150" i="21" s="1"/>
  <c r="A151" i="21" s="1"/>
  <c r="A152" i="21" s="1"/>
  <c r="A153" i="21" s="1"/>
  <c r="A154" i="21" s="1"/>
  <c r="A155" i="21" s="1"/>
  <c r="A157" i="21" s="1"/>
  <c r="A158" i="21" s="1"/>
  <c r="A159" i="21" s="1"/>
  <c r="A160" i="21" s="1"/>
  <c r="A161" i="21" s="1"/>
  <c r="A162" i="21" s="1"/>
  <c r="A163" i="21" s="1"/>
  <c r="A164" i="21" s="1"/>
  <c r="A165" i="21" s="1"/>
  <c r="A166" i="21" s="1"/>
  <c r="A167" i="21" s="1"/>
  <c r="A168" i="21" s="1"/>
  <c r="L148" i="21"/>
  <c r="I148" i="21"/>
  <c r="C148" i="21"/>
  <c r="L147" i="21"/>
  <c r="I147" i="21"/>
  <c r="C147" i="21"/>
  <c r="L146" i="21"/>
  <c r="I146" i="21"/>
  <c r="C146" i="21"/>
  <c r="L145" i="21"/>
  <c r="I145" i="21"/>
  <c r="C145" i="21"/>
  <c r="C144" i="21"/>
  <c r="N143" i="21"/>
  <c r="M143" i="21"/>
  <c r="K143" i="21"/>
  <c r="C143" i="21"/>
  <c r="L142" i="21"/>
  <c r="I142" i="21"/>
  <c r="C142" i="21"/>
  <c r="L141" i="21"/>
  <c r="I141" i="21"/>
  <c r="C141" i="21"/>
  <c r="L140" i="21"/>
  <c r="I140" i="21"/>
  <c r="C140" i="21"/>
  <c r="L139" i="21"/>
  <c r="I139" i="21"/>
  <c r="C139" i="21"/>
  <c r="L138" i="21"/>
  <c r="I138" i="21"/>
  <c r="C138" i="21"/>
  <c r="L137" i="21"/>
  <c r="I137" i="21"/>
  <c r="C137" i="21"/>
  <c r="L136" i="21"/>
  <c r="I136" i="21"/>
  <c r="C136" i="21"/>
  <c r="A136" i="21"/>
  <c r="A137" i="21" s="1"/>
  <c r="A138" i="21" s="1"/>
  <c r="A139" i="21" s="1"/>
  <c r="A140" i="21" s="1"/>
  <c r="A141" i="21" s="1"/>
  <c r="A142" i="21" s="1"/>
  <c r="A143" i="21" s="1"/>
  <c r="A144" i="21" s="1"/>
  <c r="A145" i="21" s="1"/>
  <c r="A146" i="21" s="1"/>
  <c r="A147" i="21" s="1"/>
  <c r="A148" i="21" s="1"/>
  <c r="L135" i="21"/>
  <c r="I135" i="21"/>
  <c r="C135" i="21"/>
  <c r="C134" i="21"/>
  <c r="N133" i="21"/>
  <c r="M133" i="21"/>
  <c r="K133" i="21"/>
  <c r="C133" i="21"/>
  <c r="A133" i="21"/>
  <c r="A134" i="21" s="1"/>
  <c r="A135" i="21" s="1"/>
  <c r="L132" i="21"/>
  <c r="I132" i="21"/>
  <c r="C132" i="21"/>
  <c r="L131" i="21"/>
  <c r="I131" i="21"/>
  <c r="C131" i="21"/>
  <c r="L130" i="21"/>
  <c r="I130" i="21"/>
  <c r="C130" i="21"/>
  <c r="L129" i="21"/>
  <c r="I129" i="21"/>
  <c r="C129" i="21"/>
  <c r="L128" i="21"/>
  <c r="I128" i="21"/>
  <c r="C128" i="21"/>
  <c r="L127" i="21"/>
  <c r="I127" i="21"/>
  <c r="C127" i="21"/>
  <c r="L126" i="21"/>
  <c r="I126" i="21"/>
  <c r="C126" i="21"/>
  <c r="L125" i="21"/>
  <c r="I125" i="21"/>
  <c r="C125" i="21"/>
  <c r="A125" i="21"/>
  <c r="A126" i="21" s="1"/>
  <c r="A127" i="21" s="1"/>
  <c r="A128" i="21" s="1"/>
  <c r="A129" i="21" s="1"/>
  <c r="A130" i="21" s="1"/>
  <c r="A131" i="21" s="1"/>
  <c r="A132" i="21" s="1"/>
  <c r="L124" i="21"/>
  <c r="I124" i="21"/>
  <c r="C124" i="21"/>
  <c r="L123" i="21"/>
  <c r="I123" i="21"/>
  <c r="C123" i="21"/>
  <c r="L122" i="21"/>
  <c r="I122" i="21"/>
  <c r="C122" i="21"/>
  <c r="N120" i="21"/>
  <c r="M120" i="21"/>
  <c r="K120" i="21"/>
  <c r="C120" i="21"/>
  <c r="L119" i="21"/>
  <c r="I119" i="21"/>
  <c r="C119" i="21"/>
  <c r="L118" i="21"/>
  <c r="I118" i="21"/>
  <c r="C118" i="21"/>
  <c r="L117" i="21"/>
  <c r="I117" i="21"/>
  <c r="C117" i="21"/>
  <c r="L116" i="21"/>
  <c r="I116" i="21"/>
  <c r="C116" i="21"/>
  <c r="A116" i="21"/>
  <c r="A117" i="21" s="1"/>
  <c r="A118" i="21" s="1"/>
  <c r="A119" i="21" s="1"/>
  <c r="A120" i="21" s="1"/>
  <c r="A122" i="21" s="1"/>
  <c r="A123" i="21" s="1"/>
  <c r="A124" i="21" s="1"/>
  <c r="L115" i="21"/>
  <c r="I115" i="21"/>
  <c r="C115" i="21"/>
  <c r="L114" i="21"/>
  <c r="I114" i="21"/>
  <c r="C114" i="21"/>
  <c r="L113" i="21"/>
  <c r="I113" i="21"/>
  <c r="C113" i="21"/>
  <c r="N111" i="21"/>
  <c r="M111" i="21"/>
  <c r="K111" i="21"/>
  <c r="C111" i="21"/>
  <c r="L110" i="21"/>
  <c r="I110" i="21"/>
  <c r="C110" i="21"/>
  <c r="L109" i="21"/>
  <c r="I109" i="21"/>
  <c r="C109" i="21"/>
  <c r="L108" i="21"/>
  <c r="I108" i="21"/>
  <c r="C108" i="21"/>
  <c r="L107" i="21"/>
  <c r="I107" i="21"/>
  <c r="C107" i="21"/>
  <c r="A107" i="21"/>
  <c r="A108" i="21" s="1"/>
  <c r="A109" i="21" s="1"/>
  <c r="A110" i="21" s="1"/>
  <c r="A111" i="21" s="1"/>
  <c r="A113" i="21" s="1"/>
  <c r="A114" i="21" s="1"/>
  <c r="A115" i="21" s="1"/>
  <c r="L106" i="21"/>
  <c r="I106" i="21"/>
  <c r="C106" i="21"/>
  <c r="A106" i="21"/>
  <c r="L105" i="21"/>
  <c r="I105" i="21"/>
  <c r="C105" i="21"/>
  <c r="L104" i="21"/>
  <c r="I104" i="21"/>
  <c r="C104" i="21"/>
  <c r="L103" i="21"/>
  <c r="I103" i="21"/>
  <c r="C103" i="21"/>
  <c r="N101" i="21"/>
  <c r="M101" i="21"/>
  <c r="K101" i="21"/>
  <c r="C101" i="21"/>
  <c r="L100" i="21"/>
  <c r="I100" i="21"/>
  <c r="C100" i="21"/>
  <c r="L99" i="21"/>
  <c r="I99" i="21"/>
  <c r="C99" i="21"/>
  <c r="L98" i="21"/>
  <c r="I98" i="21"/>
  <c r="C98" i="21"/>
  <c r="L97" i="21"/>
  <c r="I97" i="21"/>
  <c r="C97" i="21"/>
  <c r="L96" i="21"/>
  <c r="I96" i="21"/>
  <c r="C96" i="21"/>
  <c r="A96" i="21"/>
  <c r="A97" i="21" s="1"/>
  <c r="A98" i="21" s="1"/>
  <c r="A99" i="21" s="1"/>
  <c r="A100" i="21" s="1"/>
  <c r="A101" i="21" s="1"/>
  <c r="A103" i="21" s="1"/>
  <c r="A104" i="21" s="1"/>
  <c r="A105" i="21" s="1"/>
  <c r="L95" i="21"/>
  <c r="I95" i="21"/>
  <c r="C95" i="21"/>
  <c r="C94" i="21"/>
  <c r="N89" i="21"/>
  <c r="K89" i="21"/>
  <c r="C89" i="21"/>
  <c r="M88" i="21"/>
  <c r="I88" i="21"/>
  <c r="C88" i="21"/>
  <c r="L87" i="21"/>
  <c r="I87" i="21"/>
  <c r="C87" i="21"/>
  <c r="L86" i="21"/>
  <c r="I86" i="21"/>
  <c r="C86" i="21"/>
  <c r="L85" i="21"/>
  <c r="I85" i="21"/>
  <c r="C85" i="21"/>
  <c r="M84" i="21"/>
  <c r="I84" i="21"/>
  <c r="C84" i="21"/>
  <c r="L83" i="21"/>
  <c r="I83" i="21"/>
  <c r="C83" i="21"/>
  <c r="L82" i="21"/>
  <c r="I82" i="21"/>
  <c r="C82" i="21"/>
  <c r="L81" i="21"/>
  <c r="I81" i="21"/>
  <c r="C81" i="21"/>
  <c r="N79" i="21"/>
  <c r="M79" i="21"/>
  <c r="K79" i="21"/>
  <c r="C79" i="21"/>
  <c r="L78" i="21"/>
  <c r="I78" i="21"/>
  <c r="C78" i="21"/>
  <c r="N76" i="21"/>
  <c r="M76" i="21"/>
  <c r="K76" i="21"/>
  <c r="C76" i="21"/>
  <c r="L75" i="21"/>
  <c r="I75" i="21"/>
  <c r="C75" i="21"/>
  <c r="L74" i="21"/>
  <c r="I74" i="21"/>
  <c r="C74" i="21"/>
  <c r="L73" i="21"/>
  <c r="I73" i="21"/>
  <c r="C73" i="21"/>
  <c r="L72" i="21"/>
  <c r="I72" i="21"/>
  <c r="C72" i="21"/>
  <c r="L71" i="21"/>
  <c r="I71" i="21"/>
  <c r="C71" i="21"/>
  <c r="L70" i="21"/>
  <c r="I70" i="21"/>
  <c r="C70" i="21"/>
  <c r="L69" i="21"/>
  <c r="I69" i="21"/>
  <c r="C69" i="21"/>
  <c r="L68" i="21"/>
  <c r="I68" i="21"/>
  <c r="C68" i="21"/>
  <c r="C67" i="21"/>
  <c r="N66" i="21"/>
  <c r="M66" i="21"/>
  <c r="K66" i="21"/>
  <c r="C66" i="21"/>
  <c r="L65" i="21"/>
  <c r="I65" i="21"/>
  <c r="C65" i="21"/>
  <c r="L64" i="21"/>
  <c r="I64" i="21"/>
  <c r="C64" i="21"/>
  <c r="L63" i="21"/>
  <c r="I63" i="21"/>
  <c r="C63" i="21"/>
  <c r="L62" i="21"/>
  <c r="I62" i="21"/>
  <c r="C62" i="21"/>
  <c r="L61" i="21"/>
  <c r="I61" i="21"/>
  <c r="C61" i="21"/>
  <c r="L60" i="21"/>
  <c r="I60" i="21"/>
  <c r="C60" i="21"/>
  <c r="A60" i="2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8" i="21" s="1"/>
  <c r="A79" i="21" s="1"/>
  <c r="A81" i="21" s="1"/>
  <c r="A82" i="21" s="1"/>
  <c r="A83" i="21" s="1"/>
  <c r="A84" i="21" s="1"/>
  <c r="A85" i="21" s="1"/>
  <c r="A86" i="21" s="1"/>
  <c r="A87" i="21" s="1"/>
  <c r="A88" i="21" s="1"/>
  <c r="A89" i="21" s="1"/>
  <c r="A94" i="21" s="1"/>
  <c r="A95" i="21" s="1"/>
  <c r="L59" i="21"/>
  <c r="I59" i="21"/>
  <c r="C59" i="21"/>
  <c r="L58" i="21"/>
  <c r="I58" i="21"/>
  <c r="C58" i="21"/>
  <c r="L57" i="21"/>
  <c r="I57" i="21"/>
  <c r="C57" i="21"/>
  <c r="N55" i="21"/>
  <c r="M55" i="21"/>
  <c r="K55" i="21"/>
  <c r="C55" i="21"/>
  <c r="L54" i="21"/>
  <c r="I54" i="21"/>
  <c r="C54" i="21"/>
  <c r="L53" i="21"/>
  <c r="I53" i="21"/>
  <c r="C53" i="21"/>
  <c r="N51" i="21"/>
  <c r="M51" i="21"/>
  <c r="K51" i="21"/>
  <c r="C51" i="21"/>
  <c r="L50" i="21"/>
  <c r="I50" i="21"/>
  <c r="C50" i="21"/>
  <c r="L49" i="21"/>
  <c r="I49" i="21"/>
  <c r="C49" i="21"/>
  <c r="L48" i="21"/>
  <c r="I48" i="21"/>
  <c r="C48" i="21"/>
  <c r="L47" i="21"/>
  <c r="I47" i="21"/>
  <c r="C47" i="21"/>
  <c r="L46" i="21"/>
  <c r="I46" i="21"/>
  <c r="C46" i="21"/>
  <c r="L45" i="21"/>
  <c r="I45" i="21"/>
  <c r="C45" i="21"/>
  <c r="C44" i="21"/>
  <c r="N43" i="21"/>
  <c r="M43" i="21"/>
  <c r="K43" i="21"/>
  <c r="C43" i="21"/>
  <c r="L42" i="21"/>
  <c r="I42" i="21"/>
  <c r="C42" i="21"/>
  <c r="L41" i="21"/>
  <c r="I41" i="21"/>
  <c r="C41" i="21"/>
  <c r="N39" i="21"/>
  <c r="M39" i="21"/>
  <c r="K39" i="21"/>
  <c r="C39" i="21"/>
  <c r="L38" i="21"/>
  <c r="I38" i="21"/>
  <c r="C38" i="21"/>
  <c r="L37" i="21"/>
  <c r="I37" i="21"/>
  <c r="C37" i="21"/>
  <c r="L36" i="21"/>
  <c r="I36" i="21"/>
  <c r="C36" i="21"/>
  <c r="A36" i="21"/>
  <c r="A37" i="21" s="1"/>
  <c r="A38" i="21" s="1"/>
  <c r="A39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3" i="21" s="1"/>
  <c r="A54" i="21" s="1"/>
  <c r="A55" i="21" s="1"/>
  <c r="A57" i="21" s="1"/>
  <c r="A58" i="21" s="1"/>
  <c r="A59" i="21" s="1"/>
  <c r="C35" i="21"/>
  <c r="N34" i="21"/>
  <c r="K34" i="21"/>
  <c r="C34" i="21"/>
  <c r="M33" i="21"/>
  <c r="I33" i="21"/>
  <c r="C33" i="21"/>
  <c r="L32" i="21"/>
  <c r="I32" i="21"/>
  <c r="C32" i="21"/>
  <c r="L31" i="21"/>
  <c r="I31" i="21"/>
  <c r="C31" i="21"/>
  <c r="L30" i="21"/>
  <c r="I30" i="21"/>
  <c r="C30" i="21"/>
  <c r="L29" i="21"/>
  <c r="I29" i="21"/>
  <c r="C29" i="21"/>
  <c r="L28" i="21"/>
  <c r="I28" i="21"/>
  <c r="C28" i="21"/>
  <c r="L27" i="21"/>
  <c r="I27" i="21"/>
  <c r="C27" i="21"/>
  <c r="L26" i="21"/>
  <c r="I26" i="21"/>
  <c r="C26" i="21"/>
  <c r="L25" i="21"/>
  <c r="I25" i="21"/>
  <c r="C25" i="21"/>
  <c r="L24" i="21"/>
  <c r="I24" i="21"/>
  <c r="C24" i="21"/>
  <c r="L23" i="21"/>
  <c r="I23" i="21"/>
  <c r="C23" i="21"/>
  <c r="L22" i="21"/>
  <c r="I22" i="21"/>
  <c r="C22" i="21"/>
  <c r="L21" i="21"/>
  <c r="I21" i="21"/>
  <c r="C21" i="21"/>
  <c r="C20" i="21"/>
  <c r="N19" i="21"/>
  <c r="M19" i="21"/>
  <c r="K19" i="21"/>
  <c r="C19" i="21"/>
  <c r="A19" i="2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L18" i="21"/>
  <c r="I18" i="21"/>
  <c r="C18" i="21"/>
  <c r="L17" i="21"/>
  <c r="I17" i="21"/>
  <c r="C17" i="21"/>
  <c r="L16" i="21"/>
  <c r="I16" i="21"/>
  <c r="C16" i="21"/>
  <c r="L15" i="21"/>
  <c r="I15" i="21"/>
  <c r="C15" i="21"/>
  <c r="L14" i="21"/>
  <c r="I14" i="21"/>
  <c r="C14" i="21"/>
  <c r="A14" i="21"/>
  <c r="A15" i="21" s="1"/>
  <c r="A16" i="21" s="1"/>
  <c r="A17" i="21" s="1"/>
  <c r="A18" i="21" s="1"/>
  <c r="L13" i="21"/>
  <c r="I13" i="21"/>
  <c r="C13" i="21"/>
  <c r="C12" i="21"/>
  <c r="A2" i="21"/>
  <c r="A3" i="21" s="1"/>
  <c r="A4" i="21" s="1"/>
  <c r="A5" i="21" s="1"/>
  <c r="A6" i="21" s="1"/>
  <c r="A7" i="21" s="1"/>
  <c r="A8" i="21" s="1"/>
  <c r="A9" i="21" s="1"/>
  <c r="A10" i="21" s="1"/>
  <c r="A11" i="21" s="1"/>
  <c r="A12" i="21" s="1"/>
  <c r="A13" i="21" s="1"/>
  <c r="I167" i="21" l="1"/>
  <c r="L167" i="21"/>
  <c r="L306" i="21"/>
  <c r="L309" i="21"/>
  <c r="I327" i="21"/>
  <c r="L327" i="21"/>
  <c r="I306" i="21"/>
  <c r="L88" i="21"/>
  <c r="L170" i="21"/>
  <c r="L256" i="21"/>
  <c r="L279" i="21"/>
  <c r="M34" i="21"/>
  <c r="I321" i="21"/>
  <c r="L321" i="21"/>
  <c r="L158" i="21"/>
  <c r="L333" i="21"/>
  <c r="L79" i="21"/>
  <c r="I218" i="21"/>
  <c r="L218" i="21"/>
  <c r="I19" i="21"/>
  <c r="L39" i="21"/>
  <c r="I79" i="21"/>
  <c r="L143" i="21"/>
  <c r="I330" i="21"/>
  <c r="I89" i="21"/>
  <c r="L55" i="21"/>
  <c r="L330" i="21"/>
  <c r="I336" i="21"/>
  <c r="I269" i="21"/>
  <c r="L336" i="21"/>
  <c r="L269" i="21"/>
  <c r="I158" i="21"/>
  <c r="I333" i="21"/>
  <c r="M311" i="21"/>
  <c r="J443" i="21"/>
  <c r="I120" i="21"/>
  <c r="L187" i="21"/>
  <c r="I197" i="21"/>
  <c r="I178" i="21"/>
  <c r="M280" i="21"/>
  <c r="L19" i="21"/>
  <c r="L238" i="21"/>
  <c r="I155" i="21"/>
  <c r="I302" i="21"/>
  <c r="M171" i="21"/>
  <c r="I212" i="21"/>
  <c r="L302" i="21"/>
  <c r="L66" i="21"/>
  <c r="I101" i="21"/>
  <c r="I297" i="21"/>
  <c r="M89" i="21"/>
  <c r="L111" i="21"/>
  <c r="I171" i="21"/>
  <c r="L242" i="21"/>
  <c r="K337" i="21"/>
  <c r="I55" i="21"/>
  <c r="L120" i="21"/>
  <c r="I289" i="21"/>
  <c r="I311" i="21"/>
  <c r="N337" i="21"/>
  <c r="I39" i="21"/>
  <c r="I51" i="21"/>
  <c r="L197" i="21"/>
  <c r="I187" i="21"/>
  <c r="L101" i="21"/>
  <c r="I143" i="21"/>
  <c r="I34" i="21"/>
  <c r="L155" i="21"/>
  <c r="L206" i="21"/>
  <c r="L289" i="21"/>
  <c r="L297" i="21"/>
  <c r="I43" i="21"/>
  <c r="L43" i="21"/>
  <c r="I266" i="21"/>
  <c r="L51" i="21"/>
  <c r="L133" i="21"/>
  <c r="L178" i="21"/>
  <c r="I133" i="21"/>
  <c r="I206" i="21"/>
  <c r="L231" i="21"/>
  <c r="I238" i="21"/>
  <c r="I111" i="21"/>
  <c r="I275" i="21"/>
  <c r="I231" i="21"/>
  <c r="L275" i="21"/>
  <c r="I280" i="21"/>
  <c r="I76" i="21"/>
  <c r="I66" i="21"/>
  <c r="L76" i="21"/>
  <c r="L212" i="21"/>
  <c r="L277" i="21"/>
  <c r="L84" i="21"/>
  <c r="L310" i="21"/>
  <c r="L33" i="21"/>
  <c r="L169" i="21"/>
  <c r="M266" i="21"/>
  <c r="L311" i="21" l="1"/>
  <c r="L89" i="21"/>
  <c r="L280" i="21"/>
  <c r="L266" i="21"/>
  <c r="M337" i="21"/>
  <c r="L171" i="21"/>
  <c r="L34" i="21"/>
  <c r="I337" i="21"/>
  <c r="I338" i="21" l="1"/>
  <c r="L337" i="21"/>
  <c r="D35" i="17"/>
  <c r="D33" i="17" l="1"/>
  <c r="D34" i="17" l="1"/>
  <c r="D136" i="24" l="1"/>
  <c r="C121" i="24" l="1"/>
  <c r="D172" i="24"/>
  <c r="C95" i="24"/>
  <c r="G136" i="24"/>
  <c r="C136" i="24" l="1"/>
  <c r="E33" i="17" l="1"/>
</calcChain>
</file>

<file path=xl/sharedStrings.xml><?xml version="1.0" encoding="utf-8"?>
<sst xmlns="http://schemas.openxmlformats.org/spreadsheetml/2006/main" count="1353" uniqueCount="498">
  <si>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</si>
  <si>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</si>
  <si>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</si>
  <si>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</si>
  <si>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</si>
  <si>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</si>
  <si>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</si>
  <si>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</si>
  <si>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</si>
  <si>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</si>
  <si>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</si>
  <si>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</si>
  <si>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</si>
  <si>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</si>
  <si>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</si>
  <si>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</si>
  <si>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</si>
  <si>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</si>
  <si>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ОГАУЗ "МСЧ "Строитель"</t>
  </si>
  <si>
    <t>онкология</t>
  </si>
  <si>
    <t>ОГАУЗ "ОДБ"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</si>
  <si>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</si>
  <si>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</si>
  <si>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</si>
  <si>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</si>
  <si>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</si>
  <si>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</si>
  <si>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</si>
  <si>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</si>
  <si>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</si>
  <si>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</si>
  <si>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</si>
  <si>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</si>
  <si>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</si>
  <si>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</si>
  <si>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</si>
  <si>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</si>
  <si>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</si>
  <si>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ООО "Генелли"</t>
  </si>
  <si>
    <t>ООО "Здоровье"</t>
  </si>
  <si>
    <t>сердечно-сосудистая хирургия</t>
  </si>
  <si>
    <t>челюстно-лицевая хирургия</t>
  </si>
  <si>
    <t>ФГБОУ ВО СибГМУ Минздрава России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</si>
  <si>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</si>
  <si>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</si>
  <si>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</si>
  <si>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</si>
  <si>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АО "Гармония Здоровья"</t>
  </si>
  <si>
    <t>ОГАУЗ "Александровская РБ"</t>
  </si>
  <si>
    <t>ОГАУЗ "ГКБ №3 им. Б.И. Альперовича"</t>
  </si>
  <si>
    <t>ОГАУЗ "Межвузовская поликлиника"</t>
  </si>
  <si>
    <t>ОГАУЗ "Моряковская УБ им.В.С.Демьянова"</t>
  </si>
  <si>
    <t>ОГАУЗ "Поликлиника № 1"</t>
  </si>
  <si>
    <t>ОГАУЗ "Поликлиника № 4"</t>
  </si>
  <si>
    <t>ОГАУЗ "Светленская РБ"</t>
  </si>
  <si>
    <t>ОГАУЗ "Лоскутовская РП"</t>
  </si>
  <si>
    <t>ООО "ЛДЦ МИБС"</t>
  </si>
  <si>
    <t>детская хирургия</t>
  </si>
  <si>
    <t>ООО "СибМедЦентр"</t>
  </si>
  <si>
    <t>ФГБУ СибФНКЦ ФМБА России</t>
  </si>
  <si>
    <t>ООО "МЕДСЕРВИС"</t>
  </si>
  <si>
    <t>ОГБУЗ "Зырянская РБ"</t>
  </si>
  <si>
    <t>ОГБУЗ "Молчановская РБ"</t>
  </si>
  <si>
    <t>ОГАУЗ "Поликлиника ТНЦ СО РАН"</t>
  </si>
  <si>
    <t>ОГАУЗ "ТФМЦ"</t>
  </si>
  <si>
    <t>ОГБУЗ "Патологоанатомическое бюро"</t>
  </si>
  <si>
    <t>ФКУЗ "МСЧ МВД России по Томской области"</t>
  </si>
  <si>
    <t>ООО "Гранд Сервис"</t>
  </si>
  <si>
    <t>ООО "Люмена"</t>
  </si>
  <si>
    <t>ООО "Мед-Арт"</t>
  </si>
  <si>
    <t>ООО "Клиника Эксперт Сибирь"</t>
  </si>
  <si>
    <t>№
п/п</t>
  </si>
  <si>
    <t>Компьютерная томография</t>
  </si>
  <si>
    <t>Магнитно-резонансная томография</t>
  </si>
  <si>
    <t>Ультразвуковые исследования сердечно-сосуд.системы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</si>
  <si>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</si>
  <si>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</si>
  <si>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</si>
  <si>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Количество услуг</t>
  </si>
  <si>
    <t>Стоимость</t>
  </si>
  <si>
    <t>Количество услуг по направлениям</t>
  </si>
  <si>
    <t>ОГАУЗ "Больница №2"</t>
  </si>
  <si>
    <t>ОГАУЗ "БСМП №2"</t>
  </si>
  <si>
    <t>ОГАУЗ "ДБ №1"</t>
  </si>
  <si>
    <t>ОГАУЗ "ДГБ №2"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</si>
  <si>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</si>
  <si>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</si>
  <si>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</si>
  <si>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ОГАУЗ "Поликлиника №10"</t>
  </si>
  <si>
    <t>ОГБУЗ "МСЧ №2"</t>
  </si>
  <si>
    <t>ООО "ПМО "Стандарт"</t>
  </si>
  <si>
    <t>ООО "ЦСМ Клиника Больничная"</t>
  </si>
  <si>
    <t>ООО "Центр Семейной Медицины"</t>
  </si>
  <si>
    <t>Итого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</si>
  <si>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</si>
  <si>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</si>
  <si>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</si>
  <si>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</si>
  <si>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</si>
  <si>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</si>
  <si>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</si>
  <si>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</si>
  <si>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</si>
  <si>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</si>
  <si>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</si>
  <si>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</si>
  <si>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ФГБОУ ВО СибГМУ Минздрава России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</si>
  <si>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</si>
  <si>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</si>
  <si>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</si>
  <si>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</si>
  <si>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</si>
  <si>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</si>
  <si>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</si>
  <si>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</si>
  <si>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</si>
  <si>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</si>
  <si>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</si>
  <si>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</si>
  <si>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</si>
  <si>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</si>
  <si>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</si>
  <si>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</si>
  <si>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</si>
  <si>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</si>
  <si>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</si>
  <si>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</si>
  <si>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</si>
  <si>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</si>
  <si>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</si>
  <si>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</si>
  <si>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</si>
  <si>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</si>
  <si>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</si>
  <si>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>НИИ Онкологии  Томского НИМЦ</t>
  </si>
  <si>
    <t xml:space="preserve">ОГБУЗ "Асиновская РБ" </t>
  </si>
  <si>
    <t>Коды МО</t>
  </si>
  <si>
    <t>Онко</t>
  </si>
  <si>
    <t>Коды Мо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</si>
  <si>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</si>
  <si>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</si>
  <si>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</si>
  <si>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</si>
  <si>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</si>
  <si>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</si>
  <si>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</si>
  <si>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</si>
  <si>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</si>
  <si>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</si>
  <si>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</si>
  <si>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</si>
  <si>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</si>
  <si>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</si>
  <si>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</si>
  <si>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</si>
  <si>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</si>
  <si>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</si>
  <si>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</si>
  <si>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</si>
  <si>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</si>
  <si>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</si>
  <si>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</si>
  <si>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</si>
  <si>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</si>
  <si>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</si>
  <si>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"Медико-санитарная часть № 2"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</si>
  <si>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</si>
  <si>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</si>
  <si>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</si>
  <si>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</si>
  <si>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</si>
  <si>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</si>
  <si>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</si>
  <si>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</si>
  <si>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</si>
  <si>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</si>
  <si>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</si>
  <si>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</si>
  <si>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</si>
  <si>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</si>
  <si>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</si>
  <si>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ОГАУЗ "Роддом № 4"</t>
  </si>
  <si>
    <t>Онкология</t>
  </si>
  <si>
    <t>Всего</t>
  </si>
  <si>
    <t>в том числе:</t>
  </si>
  <si>
    <t xml:space="preserve"> без ВМП</t>
  </si>
  <si>
    <t xml:space="preserve">ВМП </t>
  </si>
  <si>
    <t>в т.ч. койки для беременных и рожениц</t>
  </si>
  <si>
    <t>Итог</t>
  </si>
  <si>
    <t>неонатология</t>
  </si>
  <si>
    <t>ОГАУЗ "Больница № 2"</t>
  </si>
  <si>
    <t>гериатрия</t>
  </si>
  <si>
    <t>ОГАУЗ "БСМП № 2"</t>
  </si>
  <si>
    <t>детская урология-андрология</t>
  </si>
  <si>
    <t>нейрохирургия</t>
  </si>
  <si>
    <t>хирургия (комбустиологии)</t>
  </si>
  <si>
    <t xml:space="preserve">ОГАУЗ "ГКБ № 3 им. Б.И. Альперовича" </t>
  </si>
  <si>
    <t>гастроэнтерология</t>
  </si>
  <si>
    <t xml:space="preserve">ОГАУЗ "Детская  больница № 1" 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</si>
  <si>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</si>
  <si>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</si>
  <si>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</si>
  <si>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</si>
  <si>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 xml:space="preserve">ОГБУЗ "Зырянская РБ" </t>
  </si>
  <si>
    <t xml:space="preserve">ООО "Санаторий "Космонавт" </t>
  </si>
  <si>
    <t xml:space="preserve">ОГБУЗ "Молчановская РБ" </t>
  </si>
  <si>
    <t xml:space="preserve">ОГАУЗ "Моряковская УБ им. В.С. Демьянова" </t>
  </si>
  <si>
    <t>ОГБУЗ "Медико-санитарная часть № 2"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</si>
  <si>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</si>
  <si>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</si>
  <si>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</si>
  <si>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</si>
  <si>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</si>
  <si>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</si>
  <si>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</si>
  <si>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</si>
  <si>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</si>
  <si>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</si>
  <si>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</si>
  <si>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</si>
  <si>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</si>
  <si>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 xml:space="preserve">ФБУ Центр реабилитации ФСС РФ "Ключи" </t>
  </si>
  <si>
    <t>ООО "ЦКБ"</t>
  </si>
  <si>
    <t xml:space="preserve">ФГБУ ФНКЦ МРИК ФМБА РОССИИ </t>
  </si>
  <si>
    <t xml:space="preserve">Объемы медицинской помощи, оказываемые застрахованным лицам за пределами Томской области: </t>
  </si>
  <si>
    <t>Наименование медицинской органиизации</t>
  </si>
  <si>
    <t>ОГАУЗ "Больница скорой медицинской помощи"</t>
  </si>
  <si>
    <t>ОГАУЗ "Томский областной онкологический диспансер"</t>
  </si>
  <si>
    <t>ОГАУЗ "Детская больница № 1"</t>
  </si>
  <si>
    <t>ВСЕГО</t>
  </si>
  <si>
    <t>ОГАУЗ "Родильный дом им. Н.А. Семашко"</t>
  </si>
  <si>
    <t xml:space="preserve">Код </t>
  </si>
  <si>
    <t>Наименование медицинской организации</t>
  </si>
  <si>
    <t>Кол-во случаев тромболизиса</t>
  </si>
  <si>
    <t>ОГБУЗ "Зырянская районная больница"</t>
  </si>
  <si>
    <t>ОГБУЗ "Молчановская районная больница"</t>
  </si>
  <si>
    <t>ОГАУЗ "ССМП"</t>
  </si>
  <si>
    <t>ФГБУ ФНКЦ МРИК ФМБА РОССИИ</t>
  </si>
  <si>
    <t>Количество услуг                          (для МО-исполнителя)</t>
  </si>
  <si>
    <t>Наименование профиля медицинской помощи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</si>
  <si>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</si>
  <si>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</si>
  <si>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</si>
  <si>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ОГБУЗ «Областная детская больница»</t>
  </si>
  <si>
    <t>ОГБУЗ "МСЧ № 2"</t>
  </si>
  <si>
    <t>ОГАУЗ "ДГБ № 2"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</si>
  <si>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</si>
  <si>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</si>
  <si>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</si>
  <si>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</si>
  <si>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ООО "ЦСМ"</t>
  </si>
  <si>
    <t>ООО "МАДЖ"</t>
  </si>
  <si>
    <t>ООО "Нефролайн-Томск"</t>
  </si>
  <si>
    <t>ООО "ТСЦ"</t>
  </si>
  <si>
    <t>АО "Гармония здоровья"</t>
  </si>
  <si>
    <t>ООО "Институт мужского здоровья"</t>
  </si>
  <si>
    <t>ООО "ЛОР КЛИНИКА"</t>
  </si>
  <si>
    <t>ООО "МК "Аллергоцентр"</t>
  </si>
  <si>
    <t>ООО "Геном-Томск"</t>
  </si>
  <si>
    <t>ООО "Клиника "Сибирская"</t>
  </si>
  <si>
    <t>ООО "МЦ "Сибирский Доктор"</t>
  </si>
  <si>
    <t>ООО "Фрезениус Медикал Кеа Сибирь"</t>
  </si>
  <si>
    <t>Объемы по неотложной медицинской помощи</t>
  </si>
  <si>
    <t>Всего посещений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</si>
  <si>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</si>
  <si>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</si>
  <si>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</si>
  <si>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</si>
  <si>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"Светленская РБ", ОГАУЗ "СРБ"</t>
  </si>
  <si>
    <t>НИИ Кардиологии филиала Томского НИМЦ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</si>
  <si>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</si>
  <si>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</si>
  <si>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</si>
  <si>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</si>
  <si>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Объемы медицинской реабилитации</t>
  </si>
  <si>
    <t xml:space="preserve">Обращения 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</si>
  <si>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</si>
  <si>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</si>
  <si>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</si>
  <si>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Объемы медицинской помощи, оказываемой в кабинете  муковисцидоза и интерстициальных заболеваний легких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</si>
  <si>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</si>
  <si>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</si>
  <si>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ОГАУЗ «Кожевниковская РБ»</t>
  </si>
  <si>
    <t>ОГАУЗ «Томская РБ»</t>
  </si>
  <si>
    <t>ОГАУЗ «Светленская РБ»</t>
  </si>
  <si>
    <t>ОГАУЗ «Шегарская РБ»</t>
  </si>
  <si>
    <t xml:space="preserve">ОГБУЗ  "МСЧ №2" </t>
  </si>
  <si>
    <t>ОГАУЗ «Межвузовская поликлиника»</t>
  </si>
  <si>
    <t>ОГАУЗ «Межвузовская поликлиника» (мобильный комплекс)</t>
  </si>
  <si>
    <t>ОГАУЗ «Томская областная клиническая больница»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</si>
  <si>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</si>
  <si>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</si>
  <si>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</si>
  <si>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</si>
  <si>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ОГБУЗ «Первомайская РБ»</t>
  </si>
  <si>
    <t>ОГБУЗ «Асиновская РБ»</t>
  </si>
  <si>
    <t>ОГБУЗ «Асиновская РБ» (передвижной маммограф)</t>
  </si>
  <si>
    <t>ОГБУЗ «Парабельская РБ»</t>
  </si>
  <si>
    <t>ОГБУЗ «Каргасокская РБ»</t>
  </si>
  <si>
    <t>ОГБУЗ «Чаинская РБ»</t>
  </si>
  <si>
    <t>ОГАУЗ «Кривошеинская РБ»</t>
  </si>
  <si>
    <t>ОГБУЗ «Бакчарская РБ»</t>
  </si>
  <si>
    <t>ОГБУЗ «МСЧ №2»</t>
  </si>
  <si>
    <t>ОГБУЗ «Молчановская РБ»</t>
  </si>
  <si>
    <t>ОГБУЗ «Зырянская РБ»</t>
  </si>
  <si>
    <t>ОГАУЗ «Стрежевская ГБ»</t>
  </si>
  <si>
    <t>ОГАУЗ «Колпашевская РБ»</t>
  </si>
  <si>
    <t>ОГАУЗ «Поликлиника №10»</t>
  </si>
  <si>
    <t>ОГАУЗ «Поликлиника №4»</t>
  </si>
  <si>
    <t>ОГАУЗ «ГКБ №3 им. Б.И. Альперовича»</t>
  </si>
  <si>
    <t>ОГАУЗ «Больница №2»</t>
  </si>
  <si>
    <t>ОГАУЗ «Томский областной онкологический диспансер»  (передвижной маммограф)</t>
  </si>
  <si>
    <t>ОГАУЗ «Томский областной онкологический диспансер» (стационарный маммограф)</t>
  </si>
  <si>
    <t>всего кол-во исследований  «Маммография»</t>
  </si>
  <si>
    <t xml:space="preserve">ОГАУЗ «Томский областной онкологический диспансер» </t>
  </si>
  <si>
    <t>Маммография спектральная с контрастированием</t>
  </si>
  <si>
    <t>Прочие медицинские услуги и консультации врачей-специалистов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</si>
  <si>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врача-кардиолога 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</si>
  <si>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детского кардиолога </t>
    </r>
  </si>
  <si>
    <r>
      <rPr>
        <b/>
        <sz val="11"/>
        <rFont val="Times New Roman"/>
        <family val="1"/>
        <charset val="204"/>
      </rPr>
      <t>Кардиолог</t>
    </r>
    <r>
      <rPr>
        <sz val="11"/>
        <rFont val="Times New Roman"/>
        <family val="1"/>
        <charset val="204"/>
      </rPr>
      <t>, оказывающий медицинскую помощь беременным женщинам</t>
    </r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</si>
  <si>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</si>
  <si>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</si>
  <si>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</si>
  <si>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</si>
  <si>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Холтеровское мониторирование артериального давления</t>
  </si>
  <si>
    <t>Холтеровское мониторирование сердечного ритма (ХМ-ЭКГ)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</si>
  <si>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</si>
  <si>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</si>
  <si>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</si>
  <si>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</si>
  <si>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</si>
  <si>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</si>
  <si>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врача-онколога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</si>
  <si>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врача-ревматолога  (взрослые)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</si>
  <si>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врача-невролога (Региональный центр рассеянного склероза и других аутоиммунных заболеваний нервной системы)</t>
    </r>
  </si>
  <si>
    <t>Расшифровка, описание и интерпретация данных цифровых ретинальных фотографий врачом - офтальмологом</t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</si>
  <si>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</si>
  <si>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</si>
  <si>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</si>
  <si>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Гемодиализ</t>
  </si>
  <si>
    <t>Гемодиализ интермитирующий высокопоточный (A18.05.002.001)</t>
  </si>
  <si>
    <t xml:space="preserve"> Перитонеальный диализ с использованием автоматизированных технологий (А18.30.001.002)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</si>
  <si>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</si>
  <si>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</si>
  <si>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</si>
  <si>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</si>
  <si>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Нефросовет (г. Москва)</t>
  </si>
  <si>
    <t>Перитонеальный диализ</t>
  </si>
  <si>
    <t>Перитонеальный диализ с использованием автоматизированных технологий (А18.30.001.002)</t>
  </si>
  <si>
    <t>Перитонеальный диализ при нарушении ультрафильтрации (А18.30.001.003)</t>
  </si>
  <si>
    <t>Перитонеальный диализ (А18.30.001)</t>
  </si>
  <si>
    <t>Сцинтиграфия</t>
  </si>
  <si>
    <t>НИИ Онкологии филиала Томского НИМЦ</t>
  </si>
  <si>
    <t>ОГАУЗ «Томский областной онкологический диспансер»</t>
  </si>
  <si>
    <t>всего кол-во исследований  «сцинтиграфия»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</si>
  <si>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</si>
  <si>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</si>
  <si>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</si>
  <si>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</si>
  <si>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</si>
  <si>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</si>
  <si>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</si>
  <si>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</si>
  <si>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</si>
  <si>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</si>
  <si>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</si>
  <si>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</si>
  <si>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ООО "Сантэ"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</si>
  <si>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</si>
  <si>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</si>
  <si>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</si>
  <si>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Приложение № 5</t>
  </si>
  <si>
    <t>ООО "Нефролайн - Томск" в г.Стрежевой</t>
  </si>
  <si>
    <t>Приложение № 2</t>
  </si>
  <si>
    <t>койки патологии беременности</t>
  </si>
  <si>
    <t>ВСЕГО по ПГГ:</t>
  </si>
  <si>
    <t>Объемы предоставления и финансового обеспечения медицинской помощи, оказываемой в стационарных условиях, на 2025 год, установленные областной Программой на 2025 год</t>
  </si>
  <si>
    <t xml:space="preserve">Номер группы ВМП 
</t>
  </si>
  <si>
    <t>ОГАУЗ «Медико-санитарная часть "Строитель»</t>
  </si>
  <si>
    <t>АНО «НИИ микрохирургии»</t>
  </si>
  <si>
    <t>ОГАУЗ «Областной перинатальный центр им. И.Д. Евтушенко»</t>
  </si>
  <si>
    <t>ООО «ЦСМ Клиника Больничная»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</si>
  <si>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</si>
  <si>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</si>
  <si>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</si>
  <si>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 xml:space="preserve">Акушерство и гинекология </t>
  </si>
  <si>
    <t>Комбустиология</t>
  </si>
  <si>
    <t>Нейрохирургия</t>
  </si>
  <si>
    <t>Оториноларингология</t>
  </si>
  <si>
    <t>Офтальмология</t>
  </si>
  <si>
    <t>Сердечно-сосудистая хирургия</t>
  </si>
  <si>
    <t>Торакальная хирургия</t>
  </si>
  <si>
    <t xml:space="preserve">Травматология и ортопедия </t>
  </si>
  <si>
    <t>Урология</t>
  </si>
  <si>
    <t>Хирургия</t>
  </si>
  <si>
    <t>Челюстно-лицевая хирургия</t>
  </si>
  <si>
    <t>Эндокринология</t>
  </si>
  <si>
    <t>Неонатология</t>
  </si>
  <si>
    <t>Педиатрия</t>
  </si>
  <si>
    <t>Объемы противоопухолевой лекарственной терапии злокачественных новообразований на 2025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</si>
  <si>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</si>
  <si>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</si>
  <si>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</si>
  <si>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</si>
  <si>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</si>
  <si>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</si>
  <si>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st19.163</t>
  </si>
  <si>
    <t>st19.164</t>
  </si>
  <si>
    <t>st19.165</t>
  </si>
  <si>
    <t>st19.166</t>
  </si>
  <si>
    <t>st19.167</t>
  </si>
  <si>
    <t>st19.168</t>
  </si>
  <si>
    <t>st19.169</t>
  </si>
  <si>
    <t>st19.170</t>
  </si>
  <si>
    <t>st19.171</t>
  </si>
  <si>
    <t>st19.172</t>
  </si>
  <si>
    <t>st19.173</t>
  </si>
  <si>
    <t>st19.174</t>
  </si>
  <si>
    <t>st19.175</t>
  </si>
  <si>
    <t>st19.176</t>
  </si>
  <si>
    <t>st19.177</t>
  </si>
  <si>
    <t>st19.178</t>
  </si>
  <si>
    <t>st19.179</t>
  </si>
  <si>
    <t>st19.180</t>
  </si>
  <si>
    <t>st19.181</t>
  </si>
  <si>
    <t>Приложение № 3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</si>
  <si>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</si>
  <si>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</si>
  <si>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</si>
  <si>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</si>
  <si>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</si>
  <si>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</si>
  <si>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</si>
  <si>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</si>
  <si>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</si>
  <si>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</si>
  <si>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</si>
  <si>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</si>
  <si>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</si>
  <si>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</si>
  <si>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</si>
  <si>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</si>
  <si>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</si>
  <si>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</si>
  <si>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</si>
  <si>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</si>
  <si>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</si>
  <si>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</si>
  <si>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</si>
  <si>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</si>
  <si>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</si>
  <si>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</si>
  <si>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</si>
  <si>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</si>
  <si>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</si>
  <si>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</si>
  <si>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</si>
  <si>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</si>
  <si>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Объемы предоставления скорой медицинской помощи , оказываемой вне медицинской организации, на 2025 год, установленные областной Программой на 2025 год</t>
  </si>
  <si>
    <t>ОФЭКТ</t>
  </si>
  <si>
    <t>ПЭТ - КТ</t>
  </si>
  <si>
    <t>Объемы предоставления медицинской помощи, оказываемой в амбулаторных условиях, на 2025 год, установленные областной Программой на 2025 год</t>
  </si>
  <si>
    <t>ОГАУЗ "ДБ № 1"</t>
  </si>
  <si>
    <t>МЧУ "Нефросовет"</t>
  </si>
  <si>
    <t>ОГАУЗ "Родильный дом № 4"</t>
  </si>
  <si>
    <t>ОГАУЗ "ДБ№ 1"</t>
  </si>
  <si>
    <t>Объемы медицинской помощи, оказываемой в Центрах здоровья</t>
  </si>
  <si>
    <t>Количество комплексных посещений</t>
  </si>
  <si>
    <t>ОГАУЗ «Томская областная клиническая больница» (мобильный комплекс)</t>
  </si>
  <si>
    <t xml:space="preserve">     Объемы исследований по направлениям врачей-онкологов первичных онкологических отделений медицинских организаций, поликлинических отделений ОГАУЗ "Томский областной онкологический диспансер" и ФГБУ СибФНКЦ ФМБА России, по направлениям врачей-гематологов, выданным пациентам с заболеваниями онкогематологического профиля (в том числе объем исследований для оказания медицинской помощи детям до 18 лет по направлениям врачебной комиссии), медицинских организаций, включенных в Реестр медицинских организаций, осуществляющих деятельность в сфере ОМС на территории Томской области в 2025 году:</t>
  </si>
  <si>
    <t xml:space="preserve">Объемы медицинской помощи, оказываемой в офтальмологическом референсном центре </t>
  </si>
  <si>
    <t>Объемы медицинкой помощи (с применением телемедицинских (дистанционных) технологий), оказываемой в медицинских организациях, не имеющих прикрепленного населения</t>
  </si>
  <si>
    <t>Количество вызовов</t>
  </si>
  <si>
    <t>Объемы</t>
  </si>
  <si>
    <t>План высокотехнологичной медицинской помощи на 2025 год</t>
  </si>
  <si>
    <t xml:space="preserve">Объемы  </t>
  </si>
  <si>
    <t>ИТОГО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</si>
  <si>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</si>
  <si>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</si>
  <si>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</si>
  <si>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>акушерство и гинекология (за исключением использования вспомогательных репродуктивных технологий)</t>
  </si>
  <si>
    <t>ООО "Гранд Ретина"</t>
  </si>
  <si>
    <t>ООО "НефроМед"</t>
  </si>
  <si>
    <t>ОГАУЗ "Томская областная клиническая больница"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</si>
  <si>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</si>
  <si>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 с выездом к пациенту из расчета 60 мин.)</t>
    </r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</si>
  <si>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томографией) на 2025 год, установленные областной Программой на 2025 год</t>
  </si>
  <si>
    <t>Гемодиализ интермитирующий низкопоточный (А18.05.002.002)</t>
  </si>
  <si>
    <t>медицинская реабилитация (дети)</t>
  </si>
  <si>
    <t xml:space="preserve">          к  Решению № 11</t>
  </si>
  <si>
    <t>Приложение № 6</t>
  </si>
  <si>
    <t>Приложение № 4</t>
  </si>
  <si>
    <t>от 04.09.2025</t>
  </si>
  <si>
    <t>Объемы медицинской помощи, оказываемой в школах для больных с хроническими заболеваниями</t>
  </si>
  <si>
    <t>Школа для больных с заболеваниями суставов и позвоночника</t>
  </si>
  <si>
    <t>Школа для больных с хроническими неинфекционными заболеваниями по профилю "Пульмонология"</t>
  </si>
  <si>
    <t>Школа для больных  с сахарным диабетом</t>
  </si>
  <si>
    <t>оториноларингология (за исключением кохлеарной имплантации) (взрослые)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</si>
</sst>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#,##0.0"/>
    <numFmt numFmtId="169" formatCode="_-* #,##0\ _₽_-;\-* #,##0\ _₽_-;_-* &quot;-&quot;??\ _₽_-;_-@_-"/>
    <numFmt numFmtId="170" formatCode="_-* #,##0.0_р_._-;\-* #,##0.0_р_._-;_-* &quot;-&quot;_р_._-;_-@_-"/>
    <numFmt numFmtId="171" formatCode="_(* #,##0.00_);_(* \(#,##0.00\);_(* &quot;-&quot;??_);_(@_)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  <numFmt numFmtId="175" formatCode="_-* #,##0.00\ _₽_-;\-* #,##0.00\ _₽_-;_-* \-??\ _₽_-;_-@_-"/>
    <numFmt numFmtId="176" formatCode="_(* #,##0_);_(* \(#,##0\);_(* &quot;-&quot;_);_(@_)"/>
    <numFmt numFmtId="177" formatCode="#,##0_ ;\-#,##0\ "/>
    <numFmt numFmtId="178" formatCode="#,###,##0"/>
    <numFmt numFmtId="179" formatCode="_-* #,##0_-;\-* #,##0_-;_-* &quot;-&quot;??_-;_-@_-"/>
    <numFmt numFmtId="180" formatCode="#,##0_ ;[Red]\-#,##0\ "/>
  </numFmts>
  <fonts count="1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1.5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indexed="64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696969"/>
      </bottom>
      <diagonal/>
    </border>
  </borders>
  <cellStyleXfs count="33188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8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8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72" fontId="54" fillId="0" borderId="0"/>
    <xf numFmtId="172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3" fontId="56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9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6" fontId="6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3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4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1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6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8" fillId="0" borderId="0"/>
    <xf numFmtId="0" fontId="23" fillId="0" borderId="0">
      <alignment vertical="top"/>
    </xf>
    <xf numFmtId="0" fontId="8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12" fillId="0" borderId="0">
      <alignment vertical="top"/>
    </xf>
    <xf numFmtId="0" fontId="12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8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>
      <alignment vertical="top"/>
    </xf>
    <xf numFmtId="0" fontId="8" fillId="0" borderId="0"/>
    <xf numFmtId="0" fontId="8" fillId="0" borderId="0"/>
    <xf numFmtId="0" fontId="12" fillId="0" borderId="0"/>
    <xf numFmtId="0" fontId="93" fillId="0" borderId="0"/>
    <xf numFmtId="0" fontId="88" fillId="0" borderId="0">
      <alignment vertical="top"/>
    </xf>
    <xf numFmtId="0" fontId="9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>
      <alignment vertical="top"/>
    </xf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3" fillId="0" borderId="0"/>
    <xf numFmtId="0" fontId="93" fillId="0" borderId="0"/>
    <xf numFmtId="0" fontId="93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3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88" fillId="0" borderId="0" applyNumberFormat="0" applyFont="0" applyAlignment="0" applyProtection="0"/>
    <xf numFmtId="0" fontId="93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0" fillId="0" borderId="27" applyNumberFormat="0" applyFon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0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6" fillId="0" borderId="0">
      <alignment vertical="top"/>
    </xf>
    <xf numFmtId="0" fontId="104" fillId="0" borderId="0"/>
    <xf numFmtId="0" fontId="16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104" fillId="0" borderId="0"/>
    <xf numFmtId="0" fontId="16" fillId="0" borderId="0">
      <alignment vertical="top"/>
    </xf>
    <xf numFmtId="0" fontId="16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5" fontId="46" fillId="0" borderId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30" fillId="0" borderId="0" applyNumberFormat="0" applyFill="0" applyBorder="0" applyAlignment="0" applyProtection="0"/>
    <xf numFmtId="0" fontId="71" fillId="0" borderId="10" applyNumberFormat="0" applyFill="0" applyAlignment="0" applyProtection="0"/>
    <xf numFmtId="0" fontId="74" fillId="0" borderId="11" applyNumberFormat="0" applyFill="0" applyAlignment="0" applyProtection="0"/>
    <xf numFmtId="0" fontId="77" fillId="0" borderId="12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13" applyNumberFormat="0" applyAlignment="0" applyProtection="0"/>
    <xf numFmtId="0" fontId="62" fillId="8" borderId="14" applyNumberFormat="0" applyAlignment="0" applyProtection="0"/>
    <xf numFmtId="0" fontId="65" fillId="8" borderId="13" applyNumberFormat="0" applyAlignment="0" applyProtection="0"/>
    <xf numFmtId="0" fontId="103" fillId="0" borderId="15" applyNumberFormat="0" applyFill="0" applyAlignment="0" applyProtection="0"/>
    <xf numFmtId="0" fontId="83" fillId="9" borderId="16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8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74" borderId="26" applyNumberFormat="0" applyFont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3" fillId="74" borderId="26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12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3" fillId="0" borderId="0"/>
    <xf numFmtId="0" fontId="5" fillId="0" borderId="0"/>
    <xf numFmtId="0" fontId="16" fillId="0" borderId="0">
      <alignment vertical="top"/>
    </xf>
    <xf numFmtId="0" fontId="5" fillId="0" borderId="0"/>
    <xf numFmtId="0" fontId="5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68" fillId="0" borderId="0"/>
    <xf numFmtId="43" fontId="5" fillId="0" borderId="0" applyFont="0" applyFill="0" applyBorder="0" applyAlignment="0" applyProtection="0"/>
    <xf numFmtId="0" fontId="5" fillId="0" borderId="0"/>
    <xf numFmtId="0" fontId="88" fillId="0" borderId="0"/>
    <xf numFmtId="0" fontId="88" fillId="0" borderId="0"/>
    <xf numFmtId="0" fontId="2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598">
    <xf numFmtId="0" fontId="0" fillId="0" borderId="0" xfId="0"/>
    <xf numFmtId="0" fontId="0" fillId="0" borderId="0" xfId="0" applyFill="1"/>
    <xf numFmtId="0" fontId="17" fillId="2" borderId="0" xfId="1" applyFont="1" applyFill="1" applyAlignment="1">
      <alignment horizontal="right" vertical="center"/>
    </xf>
    <xf numFmtId="0" fontId="18" fillId="2" borderId="0" xfId="1" applyFont="1" applyFill="1" applyAlignment="1">
      <alignment horizontal="right" vertical="center"/>
    </xf>
    <xf numFmtId="14" fontId="18" fillId="2" borderId="0" xfId="1" applyNumberFormat="1" applyFont="1" applyFill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3" fillId="0" borderId="2" xfId="2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top" wrapText="1"/>
    </xf>
    <xf numFmtId="165" fontId="25" fillId="0" borderId="2" xfId="0" applyNumberFormat="1" applyFont="1" applyFill="1" applyBorder="1" applyAlignment="1">
      <alignment horizontal="center" vertical="center" wrapText="1"/>
    </xf>
    <xf numFmtId="170" fontId="25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4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vertical="top"/>
    </xf>
    <xf numFmtId="0" fontId="15" fillId="0" borderId="4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center"/>
    </xf>
    <xf numFmtId="0" fontId="22" fillId="0" borderId="4" xfId="27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15" fillId="0" borderId="0" xfId="1" applyNumberFormat="1" applyFont="1" applyFill="1" applyAlignment="1">
      <alignment horizontal="right" vertical="center"/>
    </xf>
    <xf numFmtId="3" fontId="21" fillId="0" borderId="2" xfId="0" applyNumberFormat="1" applyFont="1" applyBorder="1" applyAlignment="1">
      <alignment horizontal="center" vertical="center"/>
    </xf>
    <xf numFmtId="168" fontId="21" fillId="0" borderId="2" xfId="0" applyNumberFormat="1" applyFont="1" applyBorder="1" applyAlignment="1">
      <alignment horizontal="center" vertical="center"/>
    </xf>
    <xf numFmtId="0" fontId="111" fillId="0" borderId="0" xfId="9" applyFont="1" applyFill="1"/>
    <xf numFmtId="0" fontId="13" fillId="2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8" fontId="14" fillId="0" borderId="0" xfId="9" applyNumberFormat="1" applyFont="1" applyAlignment="1">
      <alignment vertical="center"/>
    </xf>
    <xf numFmtId="0" fontId="26" fillId="0" borderId="2" xfId="9" applyFont="1" applyFill="1" applyBorder="1" applyAlignment="1">
      <alignment horizontal="center" vertical="center" wrapText="1"/>
    </xf>
    <xf numFmtId="0" fontId="27" fillId="0" borderId="0" xfId="9" applyFont="1"/>
    <xf numFmtId="0" fontId="27" fillId="75" borderId="0" xfId="9" applyFont="1" applyFill="1"/>
    <xf numFmtId="0" fontId="15" fillId="0" borderId="0" xfId="9" applyFont="1"/>
    <xf numFmtId="0" fontId="27" fillId="0" borderId="0" xfId="9" applyFont="1" applyFill="1"/>
    <xf numFmtId="168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0" fontId="22" fillId="2" borderId="0" xfId="9" applyFont="1" applyFill="1"/>
    <xf numFmtId="168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2" borderId="0" xfId="9" applyFill="1"/>
    <xf numFmtId="0" fontId="12" fillId="0" borderId="0" xfId="9" applyFill="1" applyBorder="1" applyAlignment="1">
      <alignment wrapText="1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7" fillId="0" borderId="0" xfId="1" applyFont="1" applyFill="1" applyAlignment="1">
      <alignment horizontal="right" vertical="center"/>
    </xf>
    <xf numFmtId="0" fontId="18" fillId="0" borderId="0" xfId="1" applyFont="1" applyFill="1" applyAlignment="1">
      <alignment horizontal="right" vertical="center"/>
    </xf>
    <xf numFmtId="14" fontId="18" fillId="0" borderId="0" xfId="1" applyNumberFormat="1" applyFont="1" applyFill="1" applyAlignment="1">
      <alignment horizontal="right" vertical="center"/>
    </xf>
    <xf numFmtId="0" fontId="113" fillId="0" borderId="0" xfId="0" applyFont="1" applyFill="1"/>
    <xf numFmtId="0" fontId="113" fillId="0" borderId="0" xfId="0" applyFont="1" applyFill="1" applyAlignment="1">
      <alignment vertical="top" wrapText="1"/>
    </xf>
    <xf numFmtId="0" fontId="22" fillId="0" borderId="0" xfId="0" applyFont="1" applyFill="1"/>
    <xf numFmtId="0" fontId="18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3" fontId="22" fillId="0" borderId="2" xfId="0" applyNumberFormat="1" applyFont="1" applyFill="1" applyBorder="1" applyAlignment="1">
      <alignment horizontal="center" vertical="center" wrapText="1"/>
    </xf>
    <xf numFmtId="3" fontId="21" fillId="0" borderId="2" xfId="0" applyNumberFormat="1" applyFont="1" applyFill="1" applyBorder="1" applyAlignment="1">
      <alignment horizontal="center" vertical="center" wrapText="1"/>
    </xf>
    <xf numFmtId="168" fontId="21" fillId="0" borderId="2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2" xfId="0" applyFont="1" applyFill="1" applyBorder="1"/>
    <xf numFmtId="3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9" fontId="19" fillId="0" borderId="2" xfId="3" applyNumberFormat="1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/>
    </xf>
    <xf numFmtId="0" fontId="118" fillId="0" borderId="0" xfId="3" applyFont="1" applyFill="1" applyAlignment="1"/>
    <xf numFmtId="0" fontId="19" fillId="0" borderId="0" xfId="8" applyFont="1" applyFill="1" applyBorder="1" applyAlignment="1">
      <alignment vertical="center" wrapText="1"/>
    </xf>
    <xf numFmtId="0" fontId="15" fillId="0" borderId="0" xfId="8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left" vertical="center" wrapText="1" indent="1"/>
    </xf>
    <xf numFmtId="3" fontId="19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4" fillId="0" borderId="0" xfId="33151" applyFont="1" applyFill="1" applyAlignment="1">
      <alignment horizontal="left" wrapText="1" indent="1"/>
    </xf>
    <xf numFmtId="0" fontId="14" fillId="0" borderId="0" xfId="33151" applyFont="1" applyFill="1" applyAlignment="1">
      <alignment vertical="center" wrapText="1"/>
    </xf>
    <xf numFmtId="0" fontId="119" fillId="0" borderId="0" xfId="33151" applyFont="1" applyFill="1" applyAlignment="1">
      <alignment horizontal="center" vertical="center" wrapText="1"/>
    </xf>
    <xf numFmtId="0" fontId="20" fillId="0" borderId="0" xfId="9" applyFont="1" applyFill="1" applyBorder="1" applyAlignment="1">
      <alignment vertical="center" wrapText="1"/>
    </xf>
    <xf numFmtId="0" fontId="22" fillId="3" borderId="2" xfId="0" applyFont="1" applyFill="1" applyBorder="1" applyAlignment="1">
      <alignment horizontal="center" vertical="center"/>
    </xf>
    <xf numFmtId="0" fontId="22" fillId="0" borderId="2" xfId="0" applyFont="1" applyBorder="1"/>
    <xf numFmtId="3" fontId="22" fillId="0" borderId="2" xfId="0" applyNumberFormat="1" applyFont="1" applyBorder="1" applyAlignment="1">
      <alignment horizontal="center"/>
    </xf>
    <xf numFmtId="0" fontId="21" fillId="0" borderId="2" xfId="0" applyFont="1" applyBorder="1"/>
    <xf numFmtId="3" fontId="21" fillId="0" borderId="2" xfId="0" applyNumberFormat="1" applyFont="1" applyBorder="1" applyAlignment="1">
      <alignment horizontal="center"/>
    </xf>
    <xf numFmtId="3" fontId="21" fillId="0" borderId="2" xfId="13" applyNumberFormat="1" applyFont="1" applyFill="1" applyBorder="1" applyAlignment="1">
      <alignment horizontal="center"/>
    </xf>
    <xf numFmtId="0" fontId="27" fillId="0" borderId="0" xfId="9" applyFont="1" applyBorder="1"/>
    <xf numFmtId="0" fontId="27" fillId="75" borderId="0" xfId="9" applyFont="1" applyFill="1" applyBorder="1"/>
    <xf numFmtId="165" fontId="0" fillId="0" borderId="0" xfId="0" applyNumberFormat="1" applyAlignment="1">
      <alignment vertical="center"/>
    </xf>
    <xf numFmtId="3" fontId="19" fillId="0" borderId="2" xfId="0" applyNumberFormat="1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169" fontId="15" fillId="0" borderId="2" xfId="3" applyNumberFormat="1" applyFont="1" applyFill="1" applyBorder="1" applyAlignment="1">
      <alignment horizontal="center" vertical="center" wrapText="1"/>
    </xf>
    <xf numFmtId="0" fontId="14" fillId="0" borderId="0" xfId="33151" applyFont="1"/>
    <xf numFmtId="0" fontId="14" fillId="0" borderId="0" xfId="33151" applyFont="1" applyAlignment="1">
      <alignment horizontal="left" wrapText="1" indent="1"/>
    </xf>
    <xf numFmtId="0" fontId="14" fillId="0" borderId="0" xfId="33151" applyFont="1" applyAlignment="1">
      <alignment vertical="center" wrapText="1"/>
    </xf>
    <xf numFmtId="0" fontId="15" fillId="0" borderId="0" xfId="33151" applyFont="1"/>
    <xf numFmtId="0" fontId="18" fillId="0" borderId="0" xfId="1" applyFont="1" applyAlignment="1">
      <alignment horizontal="right" vertical="center"/>
    </xf>
    <xf numFmtId="0" fontId="119" fillId="0" borderId="0" xfId="33151" applyFont="1" applyAlignment="1">
      <alignment horizontal="center" vertical="center" wrapText="1"/>
    </xf>
    <xf numFmtId="0" fontId="121" fillId="0" borderId="0" xfId="33151" applyFont="1" applyAlignment="1">
      <alignment horizontal="center" vertical="center" wrapText="1"/>
    </xf>
    <xf numFmtId="0" fontId="122" fillId="0" borderId="0" xfId="33151" applyFont="1" applyAlignment="1">
      <alignment horizontal="center" vertical="center" wrapText="1"/>
    </xf>
    <xf numFmtId="14" fontId="18" fillId="0" borderId="0" xfId="1" applyNumberFormat="1" applyFont="1" applyAlignment="1">
      <alignment horizontal="right" vertical="center"/>
    </xf>
    <xf numFmtId="14" fontId="17" fillId="0" borderId="0" xfId="1" applyNumberFormat="1" applyFont="1" applyAlignment="1">
      <alignment horizontal="right" vertical="center"/>
    </xf>
    <xf numFmtId="0" fontId="124" fillId="0" borderId="0" xfId="33151" applyFont="1" applyAlignment="1">
      <alignment vertical="center" wrapText="1"/>
    </xf>
    <xf numFmtId="0" fontId="114" fillId="0" borderId="0" xfId="33151" applyFont="1" applyAlignment="1">
      <alignment vertical="center"/>
    </xf>
    <xf numFmtId="0" fontId="15" fillId="0" borderId="0" xfId="33151" applyFont="1" applyAlignment="1">
      <alignment horizontal="left" wrapText="1" indent="1"/>
    </xf>
    <xf numFmtId="179" fontId="15" fillId="0" borderId="2" xfId="5" applyNumberFormat="1" applyFont="1" applyFill="1" applyBorder="1"/>
    <xf numFmtId="0" fontId="118" fillId="0" borderId="0" xfId="3" applyFont="1" applyFill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8" fontId="20" fillId="0" borderId="1" xfId="9" applyNumberFormat="1" applyFont="1" applyFill="1" applyBorder="1" applyAlignment="1">
      <alignment horizontal="center" vertical="center" wrapText="1"/>
    </xf>
    <xf numFmtId="0" fontId="17" fillId="0" borderId="0" xfId="33157" applyFont="1" applyAlignment="1">
      <alignment horizontal="right" vertical="top"/>
    </xf>
    <xf numFmtId="179" fontId="15" fillId="0" borderId="0" xfId="5" applyNumberFormat="1" applyFont="1" applyFill="1" applyBorder="1"/>
    <xf numFmtId="3" fontId="22" fillId="3" borderId="2" xfId="13" applyNumberFormat="1" applyFont="1" applyFill="1" applyBorder="1" applyAlignment="1">
      <alignment horizontal="center" vertical="center" wrapText="1"/>
    </xf>
    <xf numFmtId="0" fontId="26" fillId="3" borderId="2" xfId="9" applyFont="1" applyFill="1" applyBorder="1" applyAlignment="1">
      <alignment horizontal="center" vertical="center" wrapText="1"/>
    </xf>
    <xf numFmtId="3" fontId="26" fillId="3" borderId="2" xfId="9" applyNumberFormat="1" applyFont="1" applyFill="1" applyBorder="1" applyAlignment="1">
      <alignment horizontal="center" vertical="center" wrapText="1"/>
    </xf>
    <xf numFmtId="168" fontId="26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6" fillId="2" borderId="31" xfId="2" applyFont="1" applyFill="1" applyBorder="1" applyAlignment="1">
      <alignment vertical="center" wrapText="1"/>
    </xf>
    <xf numFmtId="0" fontId="112" fillId="0" borderId="31" xfId="2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horizontal="left" vertical="center" wrapText="1" indent="1"/>
    </xf>
    <xf numFmtId="168" fontId="17" fillId="2" borderId="0" xfId="1" applyNumberFormat="1" applyFont="1" applyFill="1" applyAlignment="1">
      <alignment horizontal="right" vertical="center"/>
    </xf>
    <xf numFmtId="0" fontId="19" fillId="0" borderId="0" xfId="8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 indent="1"/>
    </xf>
    <xf numFmtId="168" fontId="15" fillId="3" borderId="2" xfId="0" applyNumberFormat="1" applyFont="1" applyFill="1" applyBorder="1" applyAlignment="1">
      <alignment horizontal="center" vertical="center" wrapText="1"/>
    </xf>
    <xf numFmtId="0" fontId="131" fillId="0" borderId="0" xfId="0" applyFont="1" applyFill="1"/>
    <xf numFmtId="3" fontId="116" fillId="0" borderId="0" xfId="0" applyNumberFormat="1" applyFont="1" applyFill="1" applyBorder="1" applyAlignment="1">
      <alignment horizontal="center" vertical="center" wrapText="1"/>
    </xf>
    <xf numFmtId="3" fontId="117" fillId="0" borderId="0" xfId="0" applyNumberFormat="1" applyFont="1" applyFill="1" applyBorder="1" applyAlignment="1">
      <alignment horizontal="center" vertical="top" wrapText="1"/>
    </xf>
    <xf numFmtId="168" fontId="116" fillId="0" borderId="0" xfId="0" applyNumberFormat="1" applyFont="1" applyFill="1" applyBorder="1" applyAlignment="1">
      <alignment horizontal="center" vertical="center" wrapText="1"/>
    </xf>
    <xf numFmtId="168" fontId="117" fillId="0" borderId="0" xfId="0" applyNumberFormat="1" applyFont="1" applyFill="1" applyBorder="1" applyAlignment="1">
      <alignment horizontal="center"/>
    </xf>
    <xf numFmtId="3" fontId="22" fillId="0" borderId="5" xfId="0" applyNumberFormat="1" applyFont="1" applyFill="1" applyBorder="1" applyAlignment="1">
      <alignment horizontal="center" vertical="top" wrapText="1"/>
    </xf>
    <xf numFmtId="0" fontId="15" fillId="0" borderId="36" xfId="0" applyFont="1" applyFill="1" applyBorder="1" applyAlignment="1">
      <alignment horizontal="left" vertical="center" wrapText="1" indent="1"/>
    </xf>
    <xf numFmtId="3" fontId="22" fillId="0" borderId="6" xfId="0" applyNumberFormat="1" applyFont="1" applyFill="1" applyBorder="1" applyAlignment="1">
      <alignment horizontal="center" vertical="top" wrapText="1"/>
    </xf>
    <xf numFmtId="0" fontId="22" fillId="0" borderId="6" xfId="0" applyFont="1" applyFill="1" applyBorder="1" applyAlignment="1">
      <alignment horizontal="left" vertical="top" wrapText="1" indent="1"/>
    </xf>
    <xf numFmtId="0" fontId="15" fillId="0" borderId="31" xfId="0" applyFont="1" applyFill="1" applyBorder="1" applyAlignment="1">
      <alignment horizontal="left" vertical="center" wrapText="1" indent="1"/>
    </xf>
    <xf numFmtId="0" fontId="21" fillId="0" borderId="6" xfId="0" applyFont="1" applyFill="1" applyBorder="1" applyAlignment="1">
      <alignment horizontal="left" vertical="top" wrapText="1" indent="1"/>
    </xf>
    <xf numFmtId="0" fontId="22" fillId="0" borderId="31" xfId="0" applyFont="1" applyFill="1" applyBorder="1" applyAlignment="1">
      <alignment horizontal="left" vertical="center" wrapText="1" indent="1"/>
    </xf>
    <xf numFmtId="0" fontId="22" fillId="0" borderId="6" xfId="0" applyFont="1" applyFill="1" applyBorder="1" applyAlignment="1">
      <alignment vertical="top"/>
    </xf>
    <xf numFmtId="3" fontId="22" fillId="0" borderId="33" xfId="0" applyNumberFormat="1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130" fillId="0" borderId="31" xfId="0" applyFont="1" applyFill="1" applyBorder="1" applyAlignment="1">
      <alignment horizontal="left" vertical="center" wrapText="1" indent="5"/>
    </xf>
    <xf numFmtId="0" fontId="130" fillId="0" borderId="31" xfId="0" applyFont="1" applyFill="1" applyBorder="1" applyAlignment="1">
      <alignment horizontal="left" vertical="center" wrapText="1" indent="2"/>
    </xf>
    <xf numFmtId="3" fontId="13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/>
    </xf>
    <xf numFmtId="3" fontId="20" fillId="0" borderId="2" xfId="0" applyNumberFormat="1" applyFont="1" applyFill="1" applyBorder="1" applyAlignment="1">
      <alignment horizontal="center" vertical="center"/>
    </xf>
    <xf numFmtId="168" fontId="20" fillId="0" borderId="2" xfId="0" applyNumberFormat="1" applyFont="1" applyFill="1" applyBorder="1" applyAlignment="1">
      <alignment horizontal="center" vertical="center" wrapText="1"/>
    </xf>
    <xf numFmtId="168" fontId="13" fillId="0" borderId="2" xfId="0" applyNumberFormat="1" applyFont="1" applyFill="1" applyBorder="1" applyAlignment="1">
      <alignment horizontal="center" vertical="center" wrapText="1"/>
    </xf>
    <xf numFmtId="168" fontId="20" fillId="0" borderId="2" xfId="0" applyNumberFormat="1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left" vertical="top" wrapText="1" indent="1"/>
    </xf>
    <xf numFmtId="0" fontId="21" fillId="0" borderId="33" xfId="0" applyFont="1" applyFill="1" applyBorder="1" applyAlignment="1">
      <alignment horizontal="left" vertical="top" wrapText="1" indent="1"/>
    </xf>
    <xf numFmtId="0" fontId="21" fillId="3" borderId="6" xfId="0" applyFont="1" applyFill="1" applyBorder="1" applyAlignment="1">
      <alignment horizontal="left" vertical="top" wrapText="1" indent="1"/>
    </xf>
    <xf numFmtId="0" fontId="19" fillId="3" borderId="31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 wrapText="1"/>
    </xf>
    <xf numFmtId="168" fontId="20" fillId="3" borderId="2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left" vertical="top" wrapText="1" indent="1"/>
    </xf>
    <xf numFmtId="0" fontId="22" fillId="3" borderId="9" xfId="0" applyFont="1" applyFill="1" applyBorder="1" applyAlignment="1">
      <alignment horizontal="left" vertical="top" wrapText="1" indent="1"/>
    </xf>
    <xf numFmtId="0" fontId="19" fillId="3" borderId="2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/>
    </xf>
    <xf numFmtId="168" fontId="20" fillId="3" borderId="2" xfId="0" applyNumberFormat="1" applyFont="1" applyFill="1" applyBorder="1" applyAlignment="1">
      <alignment horizontal="center" vertical="center"/>
    </xf>
    <xf numFmtId="0" fontId="15" fillId="0" borderId="2" xfId="13018" applyFont="1" applyFill="1" applyBorder="1" applyAlignment="1">
      <alignment horizontal="center" vertical="center"/>
    </xf>
    <xf numFmtId="0" fontId="15" fillId="2" borderId="2" xfId="13018" applyFont="1" applyFill="1" applyBorder="1" applyAlignment="1">
      <alignment horizontal="center" vertical="center"/>
    </xf>
    <xf numFmtId="3" fontId="13" fillId="0" borderId="2" xfId="13018" applyNumberFormat="1" applyFont="1" applyFill="1" applyBorder="1" applyAlignment="1">
      <alignment horizontal="center" vertical="center"/>
    </xf>
    <xf numFmtId="3" fontId="13" fillId="2" borderId="2" xfId="13018" applyNumberFormat="1" applyFont="1" applyFill="1" applyBorder="1" applyAlignment="1">
      <alignment horizontal="center" vertical="center"/>
    </xf>
    <xf numFmtId="3" fontId="14" fillId="2" borderId="2" xfId="13018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13" fillId="0" borderId="0" xfId="0" applyFont="1" applyFill="1" applyAlignment="1">
      <alignment horizontal="center" vertical="top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 wrapText="1"/>
    </xf>
    <xf numFmtId="3" fontId="21" fillId="0" borderId="2" xfId="13018" applyNumberFormat="1" applyFont="1" applyFill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15" fillId="0" borderId="2" xfId="16009" applyFont="1" applyFill="1" applyBorder="1" applyAlignment="1">
      <alignment horizontal="center" vertical="center"/>
    </xf>
    <xf numFmtId="3" fontId="20" fillId="0" borderId="31" xfId="0" applyNumberFormat="1" applyFont="1" applyFill="1" applyBorder="1" applyAlignment="1">
      <alignment horizontal="center" vertical="center" wrapText="1"/>
    </xf>
    <xf numFmtId="0" fontId="19" fillId="3" borderId="29" xfId="0" applyFont="1" applyFill="1" applyBorder="1" applyAlignment="1">
      <alignment horizontal="left" vertical="center" wrapText="1" indent="1"/>
    </xf>
    <xf numFmtId="3" fontId="13" fillId="0" borderId="31" xfId="0" applyNumberFormat="1" applyFont="1" applyFill="1" applyBorder="1" applyAlignment="1">
      <alignment horizontal="center" vertical="center" wrapText="1"/>
    </xf>
    <xf numFmtId="3" fontId="20" fillId="3" borderId="31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left" vertical="top" wrapText="1" indent="1"/>
    </xf>
    <xf numFmtId="0" fontId="22" fillId="3" borderId="3" xfId="0" applyFont="1" applyFill="1" applyBorder="1" applyAlignment="1">
      <alignment horizontal="left" vertical="top" wrapText="1" inden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7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7" fillId="0" borderId="6" xfId="9" applyFont="1" applyBorder="1" applyAlignment="1">
      <alignment vertical="top"/>
    </xf>
    <xf numFmtId="0" fontId="26" fillId="2" borderId="29" xfId="9" applyFont="1" applyFill="1" applyBorder="1" applyAlignment="1">
      <alignment horizontal="left" vertical="top" indent="1"/>
    </xf>
    <xf numFmtId="0" fontId="15" fillId="0" borderId="32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7" fillId="0" borderId="32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7" fillId="0" borderId="32" xfId="9" applyFont="1" applyBorder="1" applyAlignment="1">
      <alignment horizontal="left" vertical="top" indent="1"/>
    </xf>
    <xf numFmtId="0" fontId="26" fillId="2" borderId="32" xfId="9" applyFont="1" applyFill="1" applyBorder="1" applyAlignment="1">
      <alignment horizontal="left" vertical="top" indent="1"/>
    </xf>
    <xf numFmtId="0" fontId="132" fillId="0" borderId="37" xfId="0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vertical="center" wrapText="1"/>
    </xf>
    <xf numFmtId="0" fontId="26" fillId="0" borderId="2" xfId="9" applyFont="1" applyFill="1" applyBorder="1" applyAlignment="1">
      <alignment vertical="center" wrapText="1"/>
    </xf>
    <xf numFmtId="0" fontId="26" fillId="0" borderId="5" xfId="9" applyFont="1" applyFill="1" applyBorder="1" applyAlignment="1">
      <alignment horizontal="center" vertical="center" wrapText="1"/>
    </xf>
    <xf numFmtId="0" fontId="26" fillId="0" borderId="7" xfId="9" applyFont="1" applyFill="1" applyBorder="1" applyAlignment="1">
      <alignment horizontal="center" vertical="center" wrapText="1"/>
    </xf>
    <xf numFmtId="0" fontId="27" fillId="76" borderId="0" xfId="9" applyFont="1" applyFill="1" applyBorder="1"/>
    <xf numFmtId="0" fontId="15" fillId="0" borderId="0" xfId="9" applyFont="1" applyBorder="1"/>
    <xf numFmtId="0" fontId="22" fillId="0" borderId="0" xfId="9" applyFont="1" applyFill="1" applyBorder="1"/>
    <xf numFmtId="0" fontId="13" fillId="0" borderId="0" xfId="9" applyFont="1" applyBorder="1"/>
    <xf numFmtId="0" fontId="26" fillId="0" borderId="29" xfId="9" applyFont="1" applyFill="1" applyBorder="1" applyAlignment="1">
      <alignment horizontal="left" vertical="top" indent="1"/>
    </xf>
    <xf numFmtId="168" fontId="14" fillId="0" borderId="2" xfId="9" applyNumberFormat="1" applyFont="1" applyBorder="1" applyAlignment="1">
      <alignment horizontal="center" vertical="center"/>
    </xf>
    <xf numFmtId="0" fontId="26" fillId="2" borderId="31" xfId="9" applyFont="1" applyFill="1" applyBorder="1" applyAlignment="1">
      <alignment horizontal="left" vertical="top" indent="1"/>
    </xf>
    <xf numFmtId="0" fontId="27" fillId="0" borderId="31" xfId="9" applyFont="1" applyFill="1" applyBorder="1" applyAlignment="1">
      <alignment horizontal="left" vertical="top" indent="1"/>
    </xf>
    <xf numFmtId="0" fontId="27" fillId="0" borderId="32" xfId="9" applyFont="1" applyFill="1" applyBorder="1" applyAlignment="1"/>
    <xf numFmtId="0" fontId="15" fillId="0" borderId="35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168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33" fillId="0" borderId="0" xfId="9" applyFont="1" applyFill="1" applyAlignment="1">
      <alignment vertical="center"/>
    </xf>
    <xf numFmtId="0" fontId="26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3" fontId="116" fillId="0" borderId="2" xfId="0" applyNumberFormat="1" applyFont="1" applyFill="1" applyBorder="1" applyAlignment="1">
      <alignment horizontal="center" vertical="center" wrapText="1"/>
    </xf>
    <xf numFmtId="0" fontId="14" fillId="0" borderId="0" xfId="33151" applyFont="1" applyAlignment="1">
      <alignment horizontal="center" vertical="center"/>
    </xf>
    <xf numFmtId="0" fontId="15" fillId="0" borderId="0" xfId="33151" applyFont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left" vertical="center" wrapText="1" indent="1"/>
    </xf>
    <xf numFmtId="0" fontId="15" fillId="0" borderId="39" xfId="0" applyFont="1" applyFill="1" applyBorder="1" applyAlignment="1">
      <alignment horizontal="left" vertical="center" wrapText="1" indent="1"/>
    </xf>
    <xf numFmtId="0" fontId="22" fillId="3" borderId="33" xfId="0" applyFont="1" applyFill="1" applyBorder="1" applyAlignment="1">
      <alignment horizontal="left" vertical="top" wrapText="1" indent="1"/>
    </xf>
    <xf numFmtId="0" fontId="19" fillId="3" borderId="5" xfId="0" applyFont="1" applyFill="1" applyBorder="1" applyAlignment="1">
      <alignment horizontal="left" vertical="center" wrapText="1" indent="1"/>
    </xf>
    <xf numFmtId="0" fontId="25" fillId="0" borderId="31" xfId="0" applyFont="1" applyFill="1" applyBorder="1" applyAlignment="1">
      <alignment horizontal="left" vertical="center" wrapText="1" indent="1"/>
    </xf>
    <xf numFmtId="0" fontId="19" fillId="3" borderId="32" xfId="0" applyFont="1" applyFill="1" applyBorder="1" applyAlignment="1">
      <alignment horizontal="left" vertical="center" wrapText="1" indent="1"/>
    </xf>
    <xf numFmtId="0" fontId="21" fillId="0" borderId="7" xfId="0" applyFont="1" applyFill="1" applyBorder="1" applyAlignment="1">
      <alignment horizontal="left" vertical="top" wrapText="1" indent="1"/>
    </xf>
    <xf numFmtId="0" fontId="22" fillId="0" borderId="33" xfId="0" applyFont="1" applyFill="1" applyBorder="1" applyAlignment="1">
      <alignment vertical="top"/>
    </xf>
    <xf numFmtId="168" fontId="26" fillId="3" borderId="2" xfId="9" applyNumberFormat="1" applyFont="1" applyFill="1" applyBorder="1" applyAlignment="1">
      <alignment horizontal="center" vertical="center"/>
    </xf>
    <xf numFmtId="3" fontId="26" fillId="3" borderId="2" xfId="9" applyNumberFormat="1" applyFont="1" applyFill="1" applyBorder="1" applyAlignment="1">
      <alignment horizontal="center" vertical="center"/>
    </xf>
    <xf numFmtId="180" fontId="26" fillId="3" borderId="2" xfId="9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/>
    </xf>
    <xf numFmtId="0" fontId="21" fillId="0" borderId="2" xfId="0" applyFont="1" applyFill="1" applyBorder="1"/>
    <xf numFmtId="3" fontId="22" fillId="0" borderId="0" xfId="0" applyNumberFormat="1" applyFont="1" applyFill="1"/>
    <xf numFmtId="0" fontId="18" fillId="0" borderId="2" xfId="0" applyFont="1" applyFill="1" applyBorder="1" applyAlignment="1">
      <alignment horizontal="center" vertical="center"/>
    </xf>
    <xf numFmtId="0" fontId="19" fillId="77" borderId="2" xfId="4" applyFont="1" applyFill="1" applyBorder="1" applyAlignment="1">
      <alignment wrapText="1"/>
    </xf>
    <xf numFmtId="0" fontId="21" fillId="77" borderId="2" xfId="13018" applyFont="1" applyFill="1" applyBorder="1" applyAlignment="1">
      <alignment horizontal="center"/>
    </xf>
    <xf numFmtId="0" fontId="19" fillId="77" borderId="2" xfId="13018" applyFont="1" applyFill="1" applyBorder="1" applyAlignment="1">
      <alignment horizontal="center" vertical="center"/>
    </xf>
    <xf numFmtId="3" fontId="20" fillId="77" borderId="2" xfId="13018" applyNumberFormat="1" applyFont="1" applyFill="1" applyBorder="1" applyAlignment="1">
      <alignment horizontal="center" vertical="center"/>
    </xf>
    <xf numFmtId="3" fontId="26" fillId="77" borderId="2" xfId="13018" applyNumberFormat="1" applyFont="1" applyFill="1" applyBorder="1" applyAlignment="1">
      <alignment horizontal="center" vertical="center"/>
    </xf>
    <xf numFmtId="169" fontId="19" fillId="77" borderId="2" xfId="3" applyNumberFormat="1" applyFont="1" applyFill="1" applyBorder="1" applyAlignment="1">
      <alignment horizontal="center" vertical="center"/>
    </xf>
    <xf numFmtId="0" fontId="19" fillId="0" borderId="2" xfId="4" applyFont="1" applyFill="1" applyBorder="1" applyAlignment="1">
      <alignment horizontal="left" wrapText="1" indent="5"/>
    </xf>
    <xf numFmtId="3" fontId="26" fillId="2" borderId="2" xfId="13018" applyNumberFormat="1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left" vertical="top" wrapText="1" indent="1"/>
    </xf>
    <xf numFmtId="0" fontId="15" fillId="3" borderId="9" xfId="0" applyFont="1" applyFill="1" applyBorder="1" applyAlignment="1">
      <alignment horizontal="left" vertical="top" wrapText="1" indent="1"/>
    </xf>
    <xf numFmtId="0" fontId="22" fillId="0" borderId="2" xfId="0" applyFont="1" applyFill="1" applyBorder="1" applyAlignment="1">
      <alignment horizontal="left" vertical="center" wrapText="1" indent="1"/>
    </xf>
    <xf numFmtId="0" fontId="132" fillId="0" borderId="2" xfId="0" applyFont="1" applyFill="1" applyBorder="1" applyAlignment="1">
      <alignment horizontal="left" vertical="center" wrapText="1" indent="1"/>
    </xf>
    <xf numFmtId="3" fontId="26" fillId="3" borderId="31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6" fillId="2" borderId="7" xfId="9" applyFont="1" applyFill="1" applyBorder="1" applyAlignment="1">
      <alignment horizontal="left" vertical="top" indent="1"/>
    </xf>
    <xf numFmtId="0" fontId="26" fillId="0" borderId="29" xfId="9" applyFont="1" applyFill="1" applyBorder="1" applyAlignment="1">
      <alignment vertical="center" wrapText="1"/>
    </xf>
    <xf numFmtId="0" fontId="27" fillId="0" borderId="3" xfId="9" applyFont="1" applyFill="1" applyBorder="1" applyAlignment="1">
      <alignment horizontal="left" vertical="top" indent="1"/>
    </xf>
    <xf numFmtId="0" fontId="19" fillId="77" borderId="2" xfId="4" applyFont="1" applyFill="1" applyBorder="1" applyAlignment="1">
      <alignment horizontal="center" vertical="center" wrapText="1"/>
    </xf>
    <xf numFmtId="0" fontId="15" fillId="0" borderId="0" xfId="16" applyFont="1"/>
    <xf numFmtId="0" fontId="15" fillId="0" borderId="2" xfId="16" applyFont="1" applyBorder="1"/>
    <xf numFmtId="0" fontId="15" fillId="0" borderId="2" xfId="0" applyFont="1" applyBorder="1" applyAlignment="1">
      <alignment horizontal="left" wrapText="1" indent="1"/>
    </xf>
    <xf numFmtId="41" fontId="15" fillId="0" borderId="2" xfId="16" applyNumberFormat="1" applyFont="1" applyBorder="1"/>
    <xf numFmtId="0" fontId="15" fillId="0" borderId="3" xfId="0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/>
    </xf>
    <xf numFmtId="0" fontId="125" fillId="0" borderId="3" xfId="16" applyFont="1" applyBorder="1" applyAlignment="1">
      <alignment horizontal="left" vertical="center" wrapText="1" indent="1"/>
    </xf>
    <xf numFmtId="41" fontId="19" fillId="0" borderId="3" xfId="16" applyNumberFormat="1" applyFont="1" applyBorder="1"/>
    <xf numFmtId="0" fontId="15" fillId="0" borderId="0" xfId="16" applyFont="1" applyAlignment="1">
      <alignment horizontal="center"/>
    </xf>
    <xf numFmtId="0" fontId="15" fillId="0" borderId="2" xfId="16" applyFont="1" applyBorder="1" applyAlignment="1">
      <alignment horizontal="center" vertical="center"/>
    </xf>
    <xf numFmtId="0" fontId="126" fillId="0" borderId="4" xfId="16" applyFont="1" applyBorder="1" applyAlignment="1">
      <alignment horizontal="left" vertical="center" wrapText="1" indent="1"/>
    </xf>
    <xf numFmtId="41" fontId="127" fillId="0" borderId="2" xfId="16" applyNumberFormat="1" applyFont="1" applyBorder="1"/>
    <xf numFmtId="0" fontId="15" fillId="0" borderId="0" xfId="16" applyFont="1" applyAlignment="1">
      <alignment vertical="center"/>
    </xf>
    <xf numFmtId="0" fontId="126" fillId="0" borderId="2" xfId="16" applyFont="1" applyBorder="1" applyAlignment="1">
      <alignment horizontal="left" vertical="center" wrapText="1" indent="1"/>
    </xf>
    <xf numFmtId="41" fontId="19" fillId="0" borderId="2" xfId="16" applyNumberFormat="1" applyFont="1" applyBorder="1"/>
    <xf numFmtId="0" fontId="15" fillId="0" borderId="0" xfId="16" applyFont="1" applyAlignment="1">
      <alignment horizontal="center" vertical="center"/>
    </xf>
    <xf numFmtId="0" fontId="125" fillId="0" borderId="0" xfId="16" applyFont="1" applyAlignment="1">
      <alignment horizontal="left" vertical="center" wrapText="1" indent="1"/>
    </xf>
    <xf numFmtId="3" fontId="19" fillId="0" borderId="0" xfId="16" applyNumberFormat="1" applyFont="1"/>
    <xf numFmtId="176" fontId="15" fillId="0" borderId="0" xfId="33184" applyNumberFormat="1" applyFont="1" applyAlignment="1">
      <alignment horizontal="center" vertical="center" wrapText="1"/>
    </xf>
    <xf numFmtId="3" fontId="15" fillId="0" borderId="3" xfId="33184" applyNumberFormat="1" applyFont="1" applyBorder="1" applyAlignment="1">
      <alignment horizontal="center" vertical="center" wrapText="1"/>
    </xf>
    <xf numFmtId="3" fontId="15" fillId="0" borderId="0" xfId="33184" applyNumberFormat="1" applyFont="1" applyAlignment="1">
      <alignment horizontal="center" vertical="center" wrapText="1"/>
    </xf>
    <xf numFmtId="0" fontId="15" fillId="0" borderId="2" xfId="16" applyFont="1" applyBorder="1" applyAlignment="1">
      <alignment horizontal="left" wrapText="1" indent="1"/>
    </xf>
    <xf numFmtId="41" fontId="15" fillId="0" borderId="0" xfId="16" applyNumberFormat="1" applyFont="1"/>
    <xf numFmtId="0" fontId="15" fillId="0" borderId="31" xfId="33159" applyFont="1" applyBorder="1" applyAlignment="1">
      <alignment horizontal="left" vertical="center" wrapText="1" indent="1"/>
    </xf>
    <xf numFmtId="0" fontId="125" fillId="0" borderId="2" xfId="16" applyFont="1" applyBorder="1" applyAlignment="1">
      <alignment horizontal="left" vertical="center" wrapText="1" indent="1"/>
    </xf>
    <xf numFmtId="3" fontId="19" fillId="0" borderId="2" xfId="16" applyNumberFormat="1" applyFont="1" applyBorder="1"/>
    <xf numFmtId="0" fontId="15" fillId="0" borderId="0" xfId="16" applyFont="1" applyAlignment="1">
      <alignment horizontal="left" wrapText="1" indent="1"/>
    </xf>
    <xf numFmtId="3" fontId="15" fillId="0" borderId="0" xfId="16" applyNumberFormat="1" applyFont="1"/>
    <xf numFmtId="0" fontId="26" fillId="0" borderId="0" xfId="16" applyFont="1" applyAlignment="1">
      <alignment horizontal="center" vertical="center"/>
    </xf>
    <xf numFmtId="0" fontId="114" fillId="0" borderId="0" xfId="16" applyFont="1" applyAlignment="1">
      <alignment horizontal="center" vertical="center"/>
    </xf>
    <xf numFmtId="0" fontId="15" fillId="0" borderId="2" xfId="16" applyFont="1" applyBorder="1" applyAlignment="1">
      <alignment horizontal="center"/>
    </xf>
    <xf numFmtId="0" fontId="15" fillId="0" borderId="2" xfId="16" applyFont="1" applyBorder="1" applyAlignment="1">
      <alignment horizontal="center" wrapText="1"/>
    </xf>
    <xf numFmtId="0" fontId="15" fillId="0" borderId="0" xfId="16" applyFont="1" applyAlignment="1">
      <alignment horizontal="center" wrapText="1"/>
    </xf>
    <xf numFmtId="3" fontId="15" fillId="0" borderId="2" xfId="16" applyNumberFormat="1" applyFont="1" applyBorder="1" applyAlignment="1">
      <alignment horizontal="center" vertical="center" wrapText="1"/>
    </xf>
    <xf numFmtId="4" fontId="15" fillId="0" borderId="2" xfId="16" applyNumberFormat="1" applyFont="1" applyBorder="1" applyAlignment="1">
      <alignment horizontal="left" wrapText="1" inden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top" wrapText="1" indent="1"/>
    </xf>
    <xf numFmtId="3" fontId="19" fillId="0" borderId="2" xfId="16" applyNumberFormat="1" applyFont="1" applyBorder="1" applyAlignment="1">
      <alignment horizontal="center" vertical="center"/>
    </xf>
    <xf numFmtId="177" fontId="19" fillId="0" borderId="2" xfId="16" applyNumberFormat="1" applyFont="1" applyBorder="1" applyAlignment="1">
      <alignment horizontal="right" wrapText="1"/>
    </xf>
    <xf numFmtId="177" fontId="19" fillId="0" borderId="0" xfId="16" applyNumberFormat="1" applyFont="1" applyAlignment="1">
      <alignment horizontal="right" wrapText="1"/>
    </xf>
    <xf numFmtId="0" fontId="26" fillId="0" borderId="0" xfId="16" applyFont="1" applyAlignment="1">
      <alignment vertical="center"/>
    </xf>
    <xf numFmtId="0" fontId="15" fillId="0" borderId="5" xfId="33185" applyFont="1" applyBorder="1" applyAlignment="1">
      <alignment horizontal="center" vertical="center" wrapText="1"/>
    </xf>
    <xf numFmtId="0" fontId="15" fillId="0" borderId="2" xfId="33185" applyFont="1" applyBorder="1" applyAlignment="1">
      <alignment horizontal="center" vertical="center" wrapText="1"/>
    </xf>
    <xf numFmtId="177" fontId="15" fillId="0" borderId="0" xfId="16" applyNumberFormat="1" applyFont="1"/>
    <xf numFmtId="0" fontId="15" fillId="0" borderId="2" xfId="33185" applyFont="1" applyBorder="1" applyAlignment="1">
      <alignment horizontal="left" wrapText="1" indent="1"/>
    </xf>
    <xf numFmtId="3" fontId="15" fillId="0" borderId="2" xfId="33184" applyNumberFormat="1" applyFont="1" applyBorder="1" applyAlignment="1">
      <alignment horizontal="center"/>
    </xf>
    <xf numFmtId="0" fontId="17" fillId="0" borderId="2" xfId="0" applyFont="1" applyBorder="1" applyAlignment="1">
      <alignment wrapText="1"/>
    </xf>
    <xf numFmtId="3" fontId="15" fillId="0" borderId="2" xfId="16" applyNumberFormat="1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5" fillId="0" borderId="2" xfId="33159" applyFont="1" applyBorder="1" applyAlignment="1"/>
    <xf numFmtId="3" fontId="15" fillId="0" borderId="2" xfId="33184" applyNumberFormat="1" applyFont="1" applyBorder="1" applyAlignment="1">
      <alignment horizontal="center" vertical="center"/>
    </xf>
    <xf numFmtId="3" fontId="15" fillId="0" borderId="2" xfId="16" applyNumberFormat="1" applyFont="1" applyBorder="1" applyAlignment="1">
      <alignment horizontal="center" vertical="center"/>
    </xf>
    <xf numFmtId="0" fontId="114" fillId="0" borderId="0" xfId="0" applyFont="1" applyAlignment="1">
      <alignment horizontal="center" vertical="center" wrapText="1"/>
    </xf>
    <xf numFmtId="0" fontId="15" fillId="0" borderId="2" xfId="33159" applyFont="1" applyBorder="1" applyAlignment="1">
      <alignment horizontal="center" vertical="center" wrapText="1"/>
    </xf>
    <xf numFmtId="0" fontId="15" fillId="0" borderId="2" xfId="17031" applyFont="1" applyBorder="1" applyAlignment="1">
      <alignment horizontal="center" vertical="center" wrapText="1"/>
    </xf>
    <xf numFmtId="0" fontId="17" fillId="0" borderId="2" xfId="33159" applyFont="1" applyBorder="1" applyAlignment="1">
      <alignment horizontal="left" vertical="center" wrapText="1"/>
    </xf>
    <xf numFmtId="3" fontId="22" fillId="0" borderId="2" xfId="0" applyNumberFormat="1" applyFont="1" applyBorder="1" applyAlignment="1">
      <alignment horizontal="center" vertical="center"/>
    </xf>
    <xf numFmtId="3" fontId="128" fillId="0" borderId="0" xfId="16" applyNumberFormat="1" applyFont="1"/>
    <xf numFmtId="1" fontId="15" fillId="0" borderId="2" xfId="33162" applyNumberFormat="1" applyFont="1" applyBorder="1" applyAlignment="1">
      <alignment horizontal="left" vertical="center" wrapText="1" indent="1"/>
    </xf>
    <xf numFmtId="3" fontId="15" fillId="0" borderId="33" xfId="16" applyNumberFormat="1" applyFont="1" applyBorder="1"/>
    <xf numFmtId="3" fontId="15" fillId="0" borderId="2" xfId="33163" applyNumberFormat="1" applyFont="1" applyBorder="1" applyAlignment="1">
      <alignment horizontal="center" vertical="center" wrapText="1"/>
    </xf>
    <xf numFmtId="0" fontId="22" fillId="0" borderId="2" xfId="33185" applyFont="1" applyBorder="1" applyAlignment="1">
      <alignment horizontal="left" indent="1"/>
    </xf>
    <xf numFmtId="0" fontId="15" fillId="0" borderId="0" xfId="33185" applyFont="1" applyAlignment="1">
      <alignment horizontal="left" wrapText="1" indent="1"/>
    </xf>
    <xf numFmtId="3" fontId="15" fillId="0" borderId="0" xfId="16" applyNumberFormat="1" applyFont="1" applyAlignment="1">
      <alignment horizontal="center"/>
    </xf>
    <xf numFmtId="1" fontId="15" fillId="0" borderId="2" xfId="33162" applyNumberFormat="1" applyFont="1" applyBorder="1" applyAlignment="1">
      <alignment horizontal="center" vertical="center" wrapText="1"/>
    </xf>
    <xf numFmtId="0" fontId="15" fillId="0" borderId="2" xfId="33163" applyFont="1" applyBorder="1" applyAlignment="1">
      <alignment horizontal="center" vertical="center" wrapText="1"/>
    </xf>
    <xf numFmtId="0" fontId="15" fillId="0" borderId="1" xfId="33162" applyFont="1" applyBorder="1" applyAlignment="1">
      <alignment horizontal="left" vertical="center" wrapText="1" indent="1"/>
    </xf>
    <xf numFmtId="0" fontId="15" fillId="0" borderId="31" xfId="33164" applyFont="1" applyBorder="1" applyAlignment="1">
      <alignment horizontal="left" wrapText="1" indent="1"/>
    </xf>
    <xf numFmtId="0" fontId="15" fillId="0" borderId="31" xfId="33162" applyFont="1" applyBorder="1" applyAlignment="1">
      <alignment horizontal="left" wrapText="1" indent="1"/>
    </xf>
    <xf numFmtId="0" fontId="125" fillId="0" borderId="31" xfId="16" applyFont="1" applyBorder="1" applyAlignment="1">
      <alignment horizontal="left" vertical="center" wrapText="1" indent="1"/>
    </xf>
    <xf numFmtId="0" fontId="15" fillId="0" borderId="2" xfId="16" applyFont="1" applyBorder="1" applyAlignment="1">
      <alignment vertical="center"/>
    </xf>
    <xf numFmtId="0" fontId="15" fillId="0" borderId="2" xfId="33159" applyFont="1" applyBorder="1" applyAlignment="1">
      <alignment vertical="center" wrapText="1"/>
    </xf>
    <xf numFmtId="0" fontId="15" fillId="0" borderId="0" xfId="33159" applyFont="1" applyAlignment="1">
      <alignment vertical="center" wrapText="1"/>
    </xf>
    <xf numFmtId="0" fontId="15" fillId="0" borderId="34" xfId="33159" applyFont="1" applyBorder="1" applyAlignment="1">
      <alignment horizontal="left" vertical="center" wrapText="1" indent="1"/>
    </xf>
    <xf numFmtId="3" fontId="15" fillId="0" borderId="2" xfId="33185" applyNumberFormat="1" applyFont="1" applyBorder="1" applyAlignment="1">
      <alignment horizontal="center" vertical="center"/>
    </xf>
    <xf numFmtId="0" fontId="15" fillId="0" borderId="4" xfId="33159" applyFont="1" applyBorder="1" applyAlignment="1">
      <alignment horizontal="left" vertical="center" wrapText="1" indent="1"/>
    </xf>
    <xf numFmtId="0" fontId="15" fillId="0" borderId="4" xfId="13" applyFont="1" applyBorder="1" applyAlignment="1">
      <alignment horizontal="left" wrapText="1" indent="1"/>
    </xf>
    <xf numFmtId="0" fontId="15" fillId="0" borderId="0" xfId="33159" applyFont="1" applyAlignment="1">
      <alignment horizontal="left" vertical="center" wrapText="1" indent="1"/>
    </xf>
    <xf numFmtId="0" fontId="19" fillId="0" borderId="2" xfId="33165" applyFont="1" applyBorder="1" applyAlignment="1">
      <alignment horizontal="left" vertical="center" wrapText="1" indent="1"/>
    </xf>
    <xf numFmtId="0" fontId="17" fillId="0" borderId="2" xfId="33165" applyFont="1" applyBorder="1" applyAlignment="1">
      <alignment horizontal="left" vertical="center" wrapText="1" indent="1"/>
    </xf>
    <xf numFmtId="177" fontId="19" fillId="0" borderId="2" xfId="33186" applyNumberFormat="1" applyFont="1" applyFill="1" applyBorder="1" applyAlignment="1">
      <alignment horizontal="center" vertical="center" wrapText="1"/>
    </xf>
    <xf numFmtId="0" fontId="15" fillId="0" borderId="2" xfId="33159" applyFont="1" applyBorder="1" applyAlignment="1">
      <alignment horizontal="left" vertical="center" wrapText="1" indent="1"/>
    </xf>
    <xf numFmtId="0" fontId="15" fillId="0" borderId="2" xfId="33159" applyFont="1" applyBorder="1" applyAlignment="1">
      <alignment horizontal="left" vertical="center" wrapText="1" indent="2"/>
    </xf>
    <xf numFmtId="3" fontId="15" fillId="0" borderId="2" xfId="33159" applyNumberFormat="1" applyFont="1" applyBorder="1" applyAlignment="1">
      <alignment horizontal="center" vertical="center" wrapText="1"/>
    </xf>
    <xf numFmtId="0" fontId="15" fillId="0" borderId="0" xfId="33159" applyFont="1" applyAlignment="1">
      <alignment horizontal="left" vertical="center" wrapText="1" indent="2"/>
    </xf>
    <xf numFmtId="3" fontId="15" fillId="0" borderId="0" xfId="33159" applyNumberFormat="1" applyFont="1" applyAlignment="1">
      <alignment horizontal="center" vertical="center" wrapText="1"/>
    </xf>
    <xf numFmtId="3" fontId="15" fillId="0" borderId="0" xfId="16" applyNumberFormat="1" applyFont="1" applyAlignment="1">
      <alignment horizontal="center" vertical="center"/>
    </xf>
    <xf numFmtId="178" fontId="15" fillId="0" borderId="2" xfId="16" applyNumberFormat="1" applyFont="1" applyBorder="1" applyAlignment="1">
      <alignment horizontal="center" vertical="center"/>
    </xf>
    <xf numFmtId="0" fontId="15" fillId="0" borderId="2" xfId="33185" applyFont="1" applyBorder="1" applyAlignment="1">
      <alignment horizontal="center" vertical="center"/>
    </xf>
    <xf numFmtId="0" fontId="15" fillId="0" borderId="2" xfId="33184" applyFont="1" applyBorder="1" applyAlignment="1">
      <alignment horizontal="center" vertical="center"/>
    </xf>
    <xf numFmtId="0" fontId="17" fillId="0" borderId="2" xfId="33184" applyFont="1" applyBorder="1" applyAlignment="1">
      <alignment vertical="center" wrapText="1"/>
    </xf>
    <xf numFmtId="2" fontId="15" fillId="0" borderId="2" xfId="33165" applyNumberFormat="1" applyFont="1" applyBorder="1" applyAlignment="1">
      <alignment horizontal="left" vertical="center" wrapText="1" indent="1"/>
    </xf>
    <xf numFmtId="0" fontId="15" fillId="0" borderId="4" xfId="33159" applyFont="1" applyBorder="1" applyAlignment="1">
      <alignment horizontal="left" vertical="center" wrapText="1" indent="2"/>
    </xf>
    <xf numFmtId="1" fontId="15" fillId="0" borderId="2" xfId="33168" applyNumberFormat="1" applyFont="1" applyBorder="1" applyAlignment="1">
      <alignment horizontal="center" vertical="center" wrapText="1"/>
    </xf>
    <xf numFmtId="2" fontId="124" fillId="0" borderId="0" xfId="33168" applyNumberFormat="1" applyFont="1" applyAlignment="1">
      <alignment horizontal="left" vertical="center" wrapText="1" indent="1"/>
    </xf>
    <xf numFmtId="3" fontId="17" fillId="0" borderId="2" xfId="33169" applyNumberFormat="1" applyFont="1" applyBorder="1" applyAlignment="1">
      <alignment horizontal="center" vertical="center"/>
    </xf>
    <xf numFmtId="0" fontId="134" fillId="0" borderId="2" xfId="33159" applyFont="1" applyBorder="1" applyAlignment="1">
      <alignment horizontal="left" vertical="center" wrapText="1" indent="2"/>
    </xf>
    <xf numFmtId="3" fontId="15" fillId="0" borderId="0" xfId="16" applyNumberFormat="1" applyFont="1" applyAlignment="1">
      <alignment vertical="center"/>
    </xf>
    <xf numFmtId="3" fontId="15" fillId="0" borderId="0" xfId="17" applyNumberFormat="1" applyFont="1" applyAlignment="1">
      <alignment vertical="center"/>
    </xf>
    <xf numFmtId="0" fontId="129" fillId="0" borderId="0" xfId="2" applyFont="1" applyAlignment="1">
      <alignment vertical="center" wrapText="1"/>
    </xf>
    <xf numFmtId="3" fontId="129" fillId="0" borderId="0" xfId="2" applyNumberFormat="1" applyFont="1" applyAlignment="1">
      <alignment vertical="center" wrapText="1"/>
    </xf>
    <xf numFmtId="2" fontId="15" fillId="0" borderId="2" xfId="33165" applyNumberFormat="1" applyFont="1" applyBorder="1" applyAlignment="1">
      <alignment horizontal="left" wrapText="1" indent="1"/>
    </xf>
    <xf numFmtId="3" fontId="15" fillId="0" borderId="2" xfId="33170" applyNumberFormat="1" applyFont="1" applyBorder="1" applyAlignment="1">
      <alignment horizontal="center" wrapText="1"/>
    </xf>
    <xf numFmtId="3" fontId="19" fillId="0" borderId="2" xfId="33170" applyNumberFormat="1" applyFont="1" applyBorder="1" applyAlignment="1">
      <alignment horizontal="center" wrapText="1"/>
    </xf>
    <xf numFmtId="0" fontId="26" fillId="0" borderId="0" xfId="16" applyFont="1" applyAlignment="1">
      <alignment horizontal="center" vertical="center" wrapText="1"/>
    </xf>
    <xf numFmtId="0" fontId="15" fillId="0" borderId="2" xfId="16" applyFont="1" applyBorder="1" applyAlignment="1">
      <alignment horizontal="center" vertical="center" wrapText="1"/>
    </xf>
    <xf numFmtId="0" fontId="15" fillId="0" borderId="2" xfId="16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left" vertical="center" wrapText="1" indent="1"/>
    </xf>
    <xf numFmtId="0" fontId="15" fillId="0" borderId="2" xfId="33151" applyFont="1" applyBorder="1" applyAlignment="1">
      <alignment horizontal="center" vertical="center"/>
    </xf>
    <xf numFmtId="0" fontId="15" fillId="0" borderId="0" xfId="33151" applyFont="1" applyAlignment="1">
      <alignment horizontal="center" vertical="center" wrapText="1"/>
    </xf>
    <xf numFmtId="0" fontId="15" fillId="0" borderId="2" xfId="3315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5" fillId="0" borderId="2" xfId="33151" applyFont="1" applyBorder="1" applyAlignment="1">
      <alignment horizontal="left" wrapText="1" indent="1"/>
    </xf>
    <xf numFmtId="165" fontId="15" fillId="0" borderId="2" xfId="33151" applyNumberFormat="1" applyFont="1" applyBorder="1" applyAlignment="1">
      <alignment horizontal="left" wrapText="1" indent="1"/>
    </xf>
    <xf numFmtId="165" fontId="15" fillId="0" borderId="2" xfId="33151" applyNumberFormat="1" applyFont="1" applyBorder="1" applyAlignment="1">
      <alignment horizontal="center" vertical="center"/>
    </xf>
    <xf numFmtId="0" fontId="19" fillId="0" borderId="2" xfId="33151" applyFont="1" applyBorder="1" applyAlignment="1">
      <alignment horizontal="left" wrapText="1" indent="1"/>
    </xf>
    <xf numFmtId="3" fontId="19" fillId="0" borderId="2" xfId="33151" applyNumberFormat="1" applyFont="1" applyBorder="1" applyAlignment="1">
      <alignment horizontal="center" vertical="center"/>
    </xf>
    <xf numFmtId="3" fontId="19" fillId="0" borderId="0" xfId="33151" applyNumberFormat="1" applyFont="1" applyAlignment="1">
      <alignment horizontal="center" vertical="center"/>
    </xf>
    <xf numFmtId="165" fontId="15" fillId="0" borderId="0" xfId="33151" applyNumberFormat="1" applyFont="1"/>
    <xf numFmtId="3" fontId="19" fillId="0" borderId="2" xfId="33151" applyNumberFormat="1" applyFont="1" applyBorder="1" applyAlignment="1">
      <alignment horizontal="center"/>
    </xf>
    <xf numFmtId="3" fontId="19" fillId="0" borderId="0" xfId="33151" applyNumberFormat="1" applyFont="1" applyAlignment="1">
      <alignment horizontal="center"/>
    </xf>
    <xf numFmtId="0" fontId="15" fillId="0" borderId="2" xfId="16" applyFont="1" applyBorder="1" applyAlignment="1">
      <alignment horizontal="center" vertical="center"/>
    </xf>
    <xf numFmtId="3" fontId="15" fillId="0" borderId="2" xfId="33185" applyNumberFormat="1" applyFont="1" applyBorder="1" applyAlignment="1">
      <alignment horizontal="center" vertical="center"/>
    </xf>
    <xf numFmtId="49" fontId="15" fillId="0" borderId="2" xfId="16" applyNumberFormat="1" applyFont="1" applyBorder="1" applyAlignment="1">
      <alignment horizontal="left" vertical="center" wrapText="1"/>
    </xf>
    <xf numFmtId="0" fontId="15" fillId="0" borderId="2" xfId="33187" applyFont="1" applyBorder="1" applyAlignment="1">
      <alignment horizontal="left" vertical="center" wrapText="1"/>
    </xf>
    <xf numFmtId="0" fontId="15" fillId="0" borderId="2" xfId="33185" applyFont="1" applyBorder="1" applyAlignment="1">
      <alignment horizontal="left" vertical="center" wrapText="1"/>
    </xf>
    <xf numFmtId="0" fontId="15" fillId="0" borderId="2" xfId="33159" applyFont="1" applyBorder="1" applyAlignment="1">
      <alignment horizontal="left" vertical="center" wrapText="1"/>
    </xf>
    <xf numFmtId="0" fontId="15" fillId="0" borderId="2" xfId="33159" applyFont="1" applyFill="1" applyBorder="1" applyAlignment="1">
      <alignment horizontal="left" vertical="center" wrapText="1" indent="2"/>
    </xf>
    <xf numFmtId="3" fontId="15" fillId="0" borderId="2" xfId="33185" applyNumberFormat="1" applyFont="1" applyFill="1" applyBorder="1" applyAlignment="1">
      <alignment horizontal="center" vertical="center"/>
    </xf>
    <xf numFmtId="49" fontId="15" fillId="0" borderId="2" xfId="16" applyNumberFormat="1" applyFont="1" applyFill="1" applyBorder="1" applyAlignment="1">
      <alignment horizontal="left" vertical="center" wrapText="1"/>
    </xf>
    <xf numFmtId="3" fontId="15" fillId="0" borderId="2" xfId="16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0" fontId="15" fillId="0" borderId="29" xfId="0" applyFont="1" applyFill="1" applyBorder="1" applyAlignment="1">
      <alignment horizontal="left" vertical="center" wrapText="1" indent="1"/>
    </xf>
    <xf numFmtId="3" fontId="15" fillId="0" borderId="2" xfId="33170" applyNumberFormat="1" applyFont="1" applyFill="1" applyBorder="1" applyAlignment="1">
      <alignment horizontal="center" wrapText="1"/>
    </xf>
    <xf numFmtId="168" fontId="0" fillId="0" borderId="0" xfId="0" applyNumberFormat="1" applyAlignment="1">
      <alignment vertical="center"/>
    </xf>
    <xf numFmtId="170" fontId="25" fillId="0" borderId="0" xfId="0" applyNumberFormat="1" applyFont="1" applyFill="1" applyBorder="1" applyAlignment="1">
      <alignment horizontal="center" vertical="center" wrapText="1"/>
    </xf>
    <xf numFmtId="0" fontId="15" fillId="0" borderId="2" xfId="16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 wrapText="1" indent="1"/>
    </xf>
    <xf numFmtId="0" fontId="15" fillId="0" borderId="2" xfId="16" applyFont="1" applyBorder="1" applyAlignment="1">
      <alignment horizontal="center" vertical="center"/>
    </xf>
    <xf numFmtId="0" fontId="122" fillId="0" borderId="0" xfId="33151" applyFont="1"/>
    <xf numFmtId="0" fontId="22" fillId="0" borderId="4" xfId="0" applyFont="1" applyBorder="1"/>
    <xf numFmtId="0" fontId="19" fillId="0" borderId="2" xfId="16" applyFont="1" applyBorder="1" applyAlignment="1">
      <alignment horizontal="center" vertical="center" wrapText="1"/>
    </xf>
    <xf numFmtId="3" fontId="15" fillId="0" borderId="2" xfId="16" applyNumberFormat="1" applyFont="1" applyBorder="1"/>
    <xf numFmtId="176" fontId="15" fillId="0" borderId="3" xfId="33184" applyNumberFormat="1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center" vertical="center" wrapText="1"/>
    </xf>
    <xf numFmtId="168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top" wrapText="1" indent="1"/>
    </xf>
    <xf numFmtId="0" fontId="15" fillId="0" borderId="0" xfId="0" applyFont="1" applyFill="1" applyBorder="1" applyAlignment="1">
      <alignment horizontal="left" vertical="center" wrapText="1" indent="1"/>
    </xf>
    <xf numFmtId="3" fontId="13" fillId="0" borderId="0" xfId="0" applyNumberFormat="1" applyFont="1" applyFill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horizontal="center" vertical="center"/>
    </xf>
    <xf numFmtId="168" fontId="13" fillId="0" borderId="0" xfId="0" applyNumberFormat="1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left" vertical="top" wrapText="1" indent="1"/>
    </xf>
    <xf numFmtId="0" fontId="19" fillId="3" borderId="0" xfId="0" applyFont="1" applyFill="1" applyBorder="1" applyAlignment="1">
      <alignment horizontal="left" vertical="center" wrapText="1" indent="1"/>
    </xf>
    <xf numFmtId="3" fontId="20" fillId="3" borderId="0" xfId="0" applyNumberFormat="1" applyFont="1" applyFill="1" applyBorder="1" applyAlignment="1">
      <alignment horizontal="center" vertical="center" wrapText="1"/>
    </xf>
    <xf numFmtId="168" fontId="20" fillId="3" borderId="0" xfId="0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wrapText="1"/>
    </xf>
    <xf numFmtId="0" fontId="15" fillId="0" borderId="2" xfId="0" applyFont="1" applyFill="1" applyBorder="1" applyAlignment="1">
      <alignment wrapText="1"/>
    </xf>
    <xf numFmtId="0" fontId="19" fillId="0" borderId="2" xfId="16" applyFont="1" applyFill="1" applyBorder="1" applyAlignment="1">
      <alignment horizontal="center" vertical="center" wrapText="1"/>
    </xf>
    <xf numFmtId="2" fontId="15" fillId="0" borderId="31" xfId="33165" applyNumberFormat="1" applyFont="1" applyFill="1" applyBorder="1" applyAlignment="1">
      <alignment horizontal="left" vertical="center" wrapText="1" indent="1"/>
    </xf>
    <xf numFmtId="2" fontId="15" fillId="0" borderId="2" xfId="33165" applyNumberFormat="1" applyFont="1" applyFill="1" applyBorder="1" applyAlignment="1">
      <alignment horizontal="left" vertical="center" wrapText="1" indent="1"/>
    </xf>
    <xf numFmtId="0" fontId="21" fillId="0" borderId="7" xfId="0" applyFont="1" applyFill="1" applyBorder="1" applyAlignment="1">
      <alignment horizontal="left" vertical="top" wrapText="1"/>
    </xf>
    <xf numFmtId="0" fontId="21" fillId="0" borderId="29" xfId="0" applyFont="1" applyFill="1" applyBorder="1" applyAlignment="1">
      <alignment horizontal="left" vertical="top" wrapText="1"/>
    </xf>
    <xf numFmtId="0" fontId="124" fillId="77" borderId="0" xfId="3" applyFont="1" applyFill="1" applyAlignment="1">
      <alignment horizontal="center" wrapText="1"/>
    </xf>
    <xf numFmtId="0" fontId="19" fillId="0" borderId="2" xfId="7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center" vertical="center" wrapText="1"/>
    </xf>
    <xf numFmtId="0" fontId="19" fillId="0" borderId="4" xfId="8" applyFont="1" applyFill="1" applyBorder="1" applyAlignment="1">
      <alignment horizontal="center" vertical="center" wrapText="1"/>
    </xf>
    <xf numFmtId="0" fontId="19" fillId="0" borderId="8" xfId="8" applyFont="1" applyFill="1" applyBorder="1" applyAlignment="1">
      <alignment horizontal="center" vertical="center" wrapText="1"/>
    </xf>
    <xf numFmtId="0" fontId="19" fillId="0" borderId="31" xfId="8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top" wrapText="1"/>
    </xf>
    <xf numFmtId="0" fontId="120" fillId="0" borderId="4" xfId="0" applyFont="1" applyFill="1" applyBorder="1" applyAlignment="1">
      <alignment horizontal="left" vertical="center" wrapText="1" indent="1"/>
    </xf>
    <xf numFmtId="0" fontId="120" fillId="0" borderId="31" xfId="0" applyFont="1" applyFill="1" applyBorder="1" applyAlignment="1">
      <alignment horizontal="left" vertical="center" wrapText="1" indent="1"/>
    </xf>
    <xf numFmtId="0" fontId="116" fillId="0" borderId="30" xfId="2" applyFont="1" applyFill="1" applyBorder="1" applyAlignment="1">
      <alignment horizontal="left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15" fillId="0" borderId="0" xfId="0" applyFont="1" applyFill="1" applyAlignment="1">
      <alignment horizont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24" fillId="77" borderId="0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168" fontId="15" fillId="3" borderId="5" xfId="0" applyNumberFormat="1" applyFont="1" applyFill="1" applyBorder="1" applyAlignment="1">
      <alignment horizontal="center" vertical="center" wrapText="1"/>
    </xf>
    <xf numFmtId="168" fontId="15" fillId="3" borderId="3" xfId="0" applyNumberFormat="1" applyFont="1" applyFill="1" applyBorder="1" applyAlignment="1">
      <alignment horizontal="center" vertical="center" wrapText="1"/>
    </xf>
    <xf numFmtId="3" fontId="19" fillId="3" borderId="2" xfId="0" applyNumberFormat="1" applyFont="1" applyFill="1" applyBorder="1" applyAlignment="1">
      <alignment horizontal="center" vertical="center" wrapText="1"/>
    </xf>
    <xf numFmtId="168" fontId="19" fillId="3" borderId="4" xfId="0" applyNumberFormat="1" applyFont="1" applyFill="1" applyBorder="1" applyAlignment="1">
      <alignment horizontal="center" vertical="center" wrapText="1"/>
    </xf>
    <xf numFmtId="168" fontId="19" fillId="3" borderId="8" xfId="0" applyNumberFormat="1" applyFont="1" applyFill="1" applyBorder="1" applyAlignment="1">
      <alignment horizontal="center" vertical="center" wrapText="1"/>
    </xf>
    <xf numFmtId="168" fontId="19" fillId="3" borderId="31" xfId="0" applyNumberFormat="1" applyFont="1" applyFill="1" applyBorder="1" applyAlignment="1">
      <alignment horizontal="center" vertical="center" wrapText="1"/>
    </xf>
    <xf numFmtId="168" fontId="15" fillId="3" borderId="4" xfId="0" applyNumberFormat="1" applyFont="1" applyFill="1" applyBorder="1" applyAlignment="1">
      <alignment horizontal="center" vertical="center" wrapText="1"/>
    </xf>
    <xf numFmtId="168" fontId="15" fillId="3" borderId="31" xfId="0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left" wrapText="1" indent="1"/>
    </xf>
    <xf numFmtId="0" fontId="20" fillId="3" borderId="31" xfId="0" applyFont="1" applyFill="1" applyBorder="1" applyAlignment="1">
      <alignment horizontal="left" wrapText="1" indent="1"/>
    </xf>
    <xf numFmtId="0" fontId="22" fillId="0" borderId="2" xfId="0" applyFont="1" applyFill="1" applyBorder="1" applyAlignment="1">
      <alignment horizontal="center" vertical="center" wrapText="1"/>
    </xf>
    <xf numFmtId="0" fontId="124" fillId="77" borderId="0" xfId="3" applyFont="1" applyFill="1" applyAlignment="1">
      <alignment horizontal="center" vertical="center" wrapText="1"/>
    </xf>
    <xf numFmtId="43" fontId="15" fillId="2" borderId="2" xfId="5" applyFont="1" applyFill="1" applyBorder="1" applyAlignment="1">
      <alignment horizontal="center" vertical="center" wrapText="1"/>
    </xf>
    <xf numFmtId="43" fontId="15" fillId="0" borderId="2" xfId="5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 wrapText="1"/>
    </xf>
    <xf numFmtId="0" fontId="22" fillId="2" borderId="3" xfId="13018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3" xfId="4" applyFont="1" applyFill="1" applyBorder="1" applyAlignment="1">
      <alignment horizontal="center" vertical="center" wrapText="1"/>
    </xf>
    <xf numFmtId="0" fontId="15" fillId="2" borderId="5" xfId="4" applyFont="1" applyFill="1" applyBorder="1" applyAlignment="1">
      <alignment horizontal="center" vertical="center" wrapText="1"/>
    </xf>
    <xf numFmtId="0" fontId="15" fillId="2" borderId="6" xfId="4" applyFont="1" applyFill="1" applyBorder="1" applyAlignment="1">
      <alignment horizontal="center" vertical="center" wrapText="1"/>
    </xf>
    <xf numFmtId="0" fontId="15" fillId="2" borderId="3" xfId="4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/>
    </xf>
    <xf numFmtId="0" fontId="22" fillId="2" borderId="6" xfId="13018" applyFont="1" applyFill="1" applyBorder="1" applyAlignment="1">
      <alignment horizontal="center" vertical="center"/>
    </xf>
    <xf numFmtId="0" fontId="22" fillId="2" borderId="3" xfId="13018" applyFont="1" applyFill="1" applyBorder="1" applyAlignment="1">
      <alignment horizontal="center" vertical="center"/>
    </xf>
    <xf numFmtId="0" fontId="19" fillId="2" borderId="5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/>
    </xf>
    <xf numFmtId="0" fontId="19" fillId="2" borderId="3" xfId="4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/>
    </xf>
    <xf numFmtId="0" fontId="135" fillId="0" borderId="2" xfId="4" applyFont="1" applyFill="1" applyBorder="1" applyAlignment="1">
      <alignment horizontal="center" vertical="center" wrapText="1"/>
    </xf>
    <xf numFmtId="0" fontId="19" fillId="2" borderId="2" xfId="4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 indent="1"/>
    </xf>
    <xf numFmtId="0" fontId="26" fillId="0" borderId="4" xfId="8" applyFont="1" applyFill="1" applyBorder="1" applyAlignment="1">
      <alignment horizontal="left" vertical="center" wrapText="1"/>
    </xf>
    <xf numFmtId="0" fontId="26" fillId="0" borderId="31" xfId="8" applyFont="1" applyFill="1" applyBorder="1" applyAlignment="1">
      <alignment horizontal="left" vertical="center" wrapText="1"/>
    </xf>
    <xf numFmtId="0" fontId="26" fillId="0" borderId="4" xfId="8" applyFont="1" applyFill="1" applyBorder="1" applyAlignment="1">
      <alignment horizontal="center" vertical="center" wrapText="1"/>
    </xf>
    <xf numFmtId="0" fontId="26" fillId="0" borderId="31" xfId="8" applyFont="1" applyFill="1" applyBorder="1" applyAlignment="1">
      <alignment horizontal="center" vertical="center" wrapText="1"/>
    </xf>
    <xf numFmtId="0" fontId="123" fillId="77" borderId="0" xfId="9" applyFont="1" applyFill="1" applyBorder="1" applyAlignment="1">
      <alignment horizontal="center" vertical="center" wrapText="1"/>
    </xf>
    <xf numFmtId="0" fontId="26" fillId="0" borderId="5" xfId="8" applyFont="1" applyFill="1" applyBorder="1" applyAlignment="1">
      <alignment horizontal="center" vertical="center" wrapText="1"/>
    </xf>
    <xf numFmtId="0" fontId="26" fillId="0" borderId="6" xfId="8" applyFont="1" applyFill="1" applyBorder="1" applyAlignment="1">
      <alignment horizontal="center" vertical="center" wrapText="1"/>
    </xf>
    <xf numFmtId="0" fontId="26" fillId="0" borderId="3" xfId="8" applyFont="1" applyFill="1" applyBorder="1" applyAlignment="1">
      <alignment horizontal="center" vertical="center" wrapText="1"/>
    </xf>
    <xf numFmtId="0" fontId="26" fillId="0" borderId="7" xfId="8" applyFont="1" applyFill="1" applyBorder="1" applyAlignment="1">
      <alignment horizontal="center" vertical="center" wrapText="1"/>
    </xf>
    <xf numFmtId="0" fontId="26" fillId="0" borderId="29" xfId="8" applyFont="1" applyFill="1" applyBorder="1" applyAlignment="1">
      <alignment horizontal="center" vertical="center" wrapText="1"/>
    </xf>
    <xf numFmtId="0" fontId="26" fillId="0" borderId="33" xfId="8" applyFont="1" applyFill="1" applyBorder="1" applyAlignment="1">
      <alignment horizontal="center" vertical="center" wrapText="1"/>
    </xf>
    <xf numFmtId="0" fontId="26" fillId="0" borderId="32" xfId="8" applyFont="1" applyFill="1" applyBorder="1" applyAlignment="1">
      <alignment horizontal="center" vertical="center" wrapText="1"/>
    </xf>
    <xf numFmtId="0" fontId="26" fillId="0" borderId="9" xfId="8" applyFont="1" applyFill="1" applyBorder="1" applyAlignment="1">
      <alignment horizontal="center" vertical="center" wrapText="1"/>
    </xf>
    <xf numFmtId="0" fontId="26" fillId="0" borderId="35" xfId="8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1" fontId="15" fillId="0" borderId="2" xfId="33162" applyNumberFormat="1" applyFont="1" applyBorder="1" applyAlignment="1">
      <alignment horizontal="center" vertical="center" wrapText="1"/>
    </xf>
    <xf numFmtId="0" fontId="15" fillId="0" borderId="2" xfId="16" applyFont="1" applyBorder="1" applyAlignment="1">
      <alignment horizontal="center" vertical="center"/>
    </xf>
    <xf numFmtId="0" fontId="15" fillId="0" borderId="4" xfId="33163" applyFont="1" applyBorder="1" applyAlignment="1">
      <alignment horizontal="center" vertical="center" wrapText="1"/>
    </xf>
    <xf numFmtId="0" fontId="15" fillId="0" borderId="8" xfId="33163" applyFont="1" applyBorder="1" applyAlignment="1">
      <alignment horizontal="center" vertical="center" wrapText="1"/>
    </xf>
    <xf numFmtId="0" fontId="15" fillId="0" borderId="31" xfId="33163" applyFont="1" applyBorder="1" applyAlignment="1">
      <alignment horizontal="center" vertical="center" wrapText="1"/>
    </xf>
    <xf numFmtId="0" fontId="124" fillId="0" borderId="0" xfId="16" applyFont="1" applyAlignment="1">
      <alignment horizontal="center" vertical="center"/>
    </xf>
    <xf numFmtId="0" fontId="15" fillId="0" borderId="5" xfId="3315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15" fillId="0" borderId="2" xfId="3315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5" fillId="0" borderId="3" xfId="33151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124" fillId="0" borderId="0" xfId="33151" applyFont="1" applyAlignment="1">
      <alignment horizontal="center" vertical="center" wrapText="1"/>
    </xf>
    <xf numFmtId="0" fontId="15" fillId="0" borderId="5" xfId="16" applyFont="1" applyBorder="1" applyAlignment="1">
      <alignment horizontal="center" vertical="center"/>
    </xf>
    <xf numFmtId="0" fontId="15" fillId="0" borderId="3" xfId="16" applyFont="1" applyBorder="1" applyAlignment="1">
      <alignment horizontal="center" vertical="center"/>
    </xf>
    <xf numFmtId="0" fontId="15" fillId="0" borderId="5" xfId="33183" applyFont="1" applyBorder="1" applyAlignment="1">
      <alignment horizontal="center" vertical="center" wrapText="1"/>
    </xf>
    <xf numFmtId="0" fontId="15" fillId="0" borderId="3" xfId="33183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2" fontId="15" fillId="0" borderId="4" xfId="33168" applyNumberFormat="1" applyFont="1" applyBorder="1" applyAlignment="1">
      <alignment horizontal="left" vertical="center" wrapText="1" indent="1"/>
    </xf>
    <xf numFmtId="2" fontId="15" fillId="0" borderId="8" xfId="33168" applyNumberFormat="1" applyFont="1" applyBorder="1" applyAlignment="1">
      <alignment horizontal="left" vertical="center" wrapText="1" indent="1"/>
    </xf>
    <xf numFmtId="2" fontId="15" fillId="0" borderId="31" xfId="33168" applyNumberFormat="1" applyFont="1" applyBorder="1" applyAlignment="1">
      <alignment horizontal="left" vertical="center" wrapText="1" indent="1"/>
    </xf>
    <xf numFmtId="0" fontId="15" fillId="0" borderId="2" xfId="16" applyFont="1" applyBorder="1" applyAlignment="1">
      <alignment horizontal="left" vertical="center" indent="2"/>
    </xf>
    <xf numFmtId="0" fontId="26" fillId="0" borderId="0" xfId="16" applyFont="1" applyAlignment="1">
      <alignment horizontal="center" vertical="center" wrapText="1"/>
    </xf>
    <xf numFmtId="0" fontId="15" fillId="0" borderId="2" xfId="17" applyFont="1" applyFill="1" applyBorder="1" applyAlignment="1">
      <alignment horizontal="left" vertical="center" wrapText="1" indent="1"/>
    </xf>
    <xf numFmtId="2" fontId="26" fillId="0" borderId="0" xfId="33168" applyNumberFormat="1" applyFont="1" applyAlignment="1">
      <alignment horizontal="center" vertical="center" wrapText="1"/>
    </xf>
    <xf numFmtId="0" fontId="15" fillId="0" borderId="5" xfId="17" applyFont="1" applyFill="1" applyBorder="1" applyAlignment="1">
      <alignment horizontal="left" vertical="center" wrapText="1"/>
    </xf>
    <xf numFmtId="0" fontId="15" fillId="0" borderId="3" xfId="17" applyFont="1" applyFill="1" applyBorder="1" applyAlignment="1">
      <alignment horizontal="left" vertical="center" wrapText="1"/>
    </xf>
    <xf numFmtId="0" fontId="15" fillId="0" borderId="5" xfId="16" applyFont="1" applyFill="1" applyBorder="1" applyAlignment="1">
      <alignment horizontal="center" vertical="center"/>
    </xf>
    <xf numFmtId="0" fontId="15" fillId="0" borderId="3" xfId="16" applyFont="1" applyFill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1"/>
    </xf>
    <xf numFmtId="3" fontId="15" fillId="0" borderId="2" xfId="33185" applyNumberFormat="1" applyFont="1" applyBorder="1" applyAlignment="1">
      <alignment horizontal="center" vertical="center"/>
    </xf>
    <xf numFmtId="0" fontId="15" fillId="0" borderId="5" xfId="33159" applyFont="1" applyBorder="1" applyAlignment="1">
      <alignment horizontal="left" vertical="center" wrapText="1" indent="1"/>
    </xf>
    <xf numFmtId="0" fontId="15" fillId="0" borderId="3" xfId="33159" applyFont="1" applyBorder="1" applyAlignment="1">
      <alignment horizontal="left" vertical="center" wrapText="1" indent="1"/>
    </xf>
    <xf numFmtId="0" fontId="15" fillId="0" borderId="6" xfId="16" applyFont="1" applyBorder="1" applyAlignment="1">
      <alignment horizontal="center" vertical="center"/>
    </xf>
    <xf numFmtId="2" fontId="15" fillId="0" borderId="2" xfId="33165" applyNumberFormat="1" applyFont="1" applyBorder="1" applyAlignment="1">
      <alignment horizontal="left" vertical="center" wrapText="1" indent="1"/>
    </xf>
    <xf numFmtId="2" fontId="15" fillId="0" borderId="6" xfId="33165" applyNumberFormat="1" applyFont="1" applyBorder="1" applyAlignment="1">
      <alignment horizontal="left" vertical="center" wrapText="1" indent="1"/>
    </xf>
    <xf numFmtId="2" fontId="15" fillId="0" borderId="3" xfId="33165" applyNumberFormat="1" applyFont="1" applyBorder="1" applyAlignment="1">
      <alignment horizontal="left" vertical="center" wrapText="1" indent="1"/>
    </xf>
    <xf numFmtId="0" fontId="15" fillId="0" borderId="5" xfId="33159" applyFont="1" applyFill="1" applyBorder="1" applyAlignment="1">
      <alignment horizontal="center" vertical="center" wrapText="1"/>
    </xf>
    <xf numFmtId="0" fontId="15" fillId="0" borderId="6" xfId="33159" applyFont="1" applyFill="1" applyBorder="1" applyAlignment="1">
      <alignment horizontal="center" vertical="center" wrapText="1"/>
    </xf>
    <xf numFmtId="0" fontId="15" fillId="0" borderId="3" xfId="33159" applyFont="1" applyFill="1" applyBorder="1" applyAlignment="1">
      <alignment horizontal="center" vertical="center" wrapText="1"/>
    </xf>
    <xf numFmtId="0" fontId="15" fillId="0" borderId="5" xfId="33159" applyFont="1" applyBorder="1" applyAlignment="1">
      <alignment horizontal="left" vertical="center" wrapText="1"/>
    </xf>
    <xf numFmtId="0" fontId="15" fillId="0" borderId="6" xfId="33159" applyFont="1" applyBorder="1" applyAlignment="1">
      <alignment horizontal="left" vertical="center" wrapText="1"/>
    </xf>
    <xf numFmtId="0" fontId="15" fillId="0" borderId="3" xfId="33159" applyFont="1" applyBorder="1" applyAlignment="1">
      <alignment horizontal="left" vertical="center" wrapText="1"/>
    </xf>
    <xf numFmtId="0" fontId="17" fillId="0" borderId="5" xfId="33184" applyFont="1" applyFill="1" applyBorder="1" applyAlignment="1">
      <alignment horizontal="left" vertical="center" wrapText="1"/>
    </xf>
    <xf numFmtId="0" fontId="17" fillId="0" borderId="3" xfId="33184" applyFont="1" applyFill="1" applyBorder="1" applyAlignment="1">
      <alignment horizontal="left" vertical="center" wrapText="1"/>
    </xf>
    <xf numFmtId="0" fontId="15" fillId="0" borderId="29" xfId="33159" applyFont="1" applyBorder="1" applyAlignment="1">
      <alignment horizontal="left" vertical="center" wrapText="1"/>
    </xf>
    <xf numFmtId="0" fontId="15" fillId="0" borderId="32" xfId="33159" applyFont="1" applyBorder="1" applyAlignment="1">
      <alignment horizontal="left" vertical="center" wrapText="1"/>
    </xf>
    <xf numFmtId="0" fontId="15" fillId="0" borderId="35" xfId="33159" applyFont="1" applyBorder="1" applyAlignment="1">
      <alignment horizontal="left" vertical="center" wrapText="1"/>
    </xf>
    <xf numFmtId="0" fontId="124" fillId="0" borderId="1" xfId="16" applyFont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2"/>
    </xf>
    <xf numFmtId="0" fontId="124" fillId="0" borderId="0" xfId="16" applyFont="1" applyAlignment="1">
      <alignment horizontal="center" vertical="center" wrapText="1"/>
    </xf>
    <xf numFmtId="3" fontId="124" fillId="0" borderId="0" xfId="16" applyNumberFormat="1" applyFont="1" applyAlignment="1">
      <alignment horizontal="center" vertical="center"/>
    </xf>
    <xf numFmtId="0" fontId="124" fillId="0" borderId="0" xfId="0" applyFont="1" applyAlignment="1">
      <alignment horizontal="center" vertical="center" wrapText="1"/>
    </xf>
    <xf numFmtId="0" fontId="15" fillId="0" borderId="5" xfId="33183" applyFont="1" applyBorder="1" applyAlignment="1">
      <alignment horizontal="left" vertical="center" wrapText="1" indent="1"/>
    </xf>
    <xf numFmtId="0" fontId="15" fillId="0" borderId="3" xfId="33183" applyFont="1" applyBorder="1" applyAlignment="1">
      <alignment horizontal="left" vertical="center" wrapText="1" indent="1"/>
    </xf>
    <xf numFmtId="0" fontId="15" fillId="0" borderId="5" xfId="16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 wrapText="1"/>
    </xf>
    <xf numFmtId="0" fontId="123" fillId="77" borderId="0" xfId="13" applyFont="1" applyFill="1" applyAlignment="1">
      <alignment horizontal="center" vertical="center" wrapText="1"/>
    </xf>
    <xf numFmtId="0" fontId="19" fillId="0" borderId="5" xfId="33183" applyFont="1" applyBorder="1" applyAlignment="1">
      <alignment horizontal="center" vertical="center" wrapText="1"/>
    </xf>
    <xf numFmtId="0" fontId="19" fillId="0" borderId="3" xfId="33183" applyFont="1" applyBorder="1" applyAlignment="1">
      <alignment horizontal="center" vertical="center" wrapText="1"/>
    </xf>
    <xf numFmtId="0" fontId="19" fillId="0" borderId="2" xfId="33183" applyFont="1" applyBorder="1" applyAlignment="1">
      <alignment horizontal="center" vertical="center" wrapText="1"/>
    </xf>
    <xf numFmtId="176" fontId="15" fillId="0" borderId="7" xfId="33184" applyNumberFormat="1" applyFont="1" applyBorder="1" applyAlignment="1">
      <alignment horizontal="center" vertical="center" wrapText="1"/>
    </xf>
    <xf numFmtId="176" fontId="15" fillId="0" borderId="3" xfId="33184" applyNumberFormat="1" applyFont="1" applyBorder="1" applyAlignment="1">
      <alignment horizontal="center" vertical="center" wrapText="1"/>
    </xf>
    <xf numFmtId="176" fontId="15" fillId="0" borderId="4" xfId="33184" applyNumberFormat="1" applyFont="1" applyBorder="1" applyAlignment="1">
      <alignment horizontal="center" vertical="center" wrapText="1"/>
    </xf>
    <xf numFmtId="176" fontId="15" fillId="0" borderId="8" xfId="33184" applyNumberFormat="1" applyFont="1" applyBorder="1" applyAlignment="1">
      <alignment horizontal="center" vertical="center" wrapText="1"/>
    </xf>
    <xf numFmtId="176" fontId="15" fillId="0" borderId="31" xfId="33184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3" borderId="4" xfId="26" applyFont="1" applyFill="1" applyBorder="1" applyAlignment="1">
      <alignment horizontal="center" vertical="center" wrapText="1"/>
    </xf>
    <xf numFmtId="0" fontId="21" fillId="3" borderId="8" xfId="26" applyFont="1" applyFill="1" applyBorder="1" applyAlignment="1">
      <alignment horizontal="center" vertical="center" wrapText="1"/>
    </xf>
    <xf numFmtId="2" fontId="21" fillId="3" borderId="4" xfId="26" applyNumberFormat="1" applyFont="1" applyFill="1" applyBorder="1" applyAlignment="1">
      <alignment horizontal="center" vertical="center" wrapText="1"/>
    </xf>
    <xf numFmtId="2" fontId="21" fillId="3" borderId="8" xfId="26" applyNumberFormat="1" applyFont="1" applyFill="1" applyBorder="1" applyAlignment="1">
      <alignment horizontal="center" vertical="center" wrapText="1"/>
    </xf>
    <xf numFmtId="0" fontId="21" fillId="3" borderId="31" xfId="26" applyFont="1" applyFill="1" applyBorder="1" applyAlignment="1">
      <alignment horizontal="center" vertical="center" wrapText="1"/>
    </xf>
    <xf numFmtId="0" fontId="123" fillId="77" borderId="0" xfId="26" applyFont="1" applyFill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13" fillId="3" borderId="5" xfId="20" applyFont="1" applyFill="1" applyBorder="1" applyAlignment="1">
      <alignment horizontal="center" vertical="center" wrapText="1"/>
    </xf>
    <xf numFmtId="0" fontId="13" fillId="3" borderId="3" xfId="2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123" fillId="77" borderId="0" xfId="13" applyFont="1" applyFill="1" applyBorder="1" applyAlignment="1">
      <alignment horizontal="center" vertical="center" wrapText="1"/>
    </xf>
    <xf numFmtId="0" fontId="120" fillId="0" borderId="2" xfId="0" applyFont="1" applyBorder="1" applyAlignment="1">
      <alignment horizontal="left" wrapText="1" indent="1"/>
    </xf>
    <xf numFmtId="0" fontId="120" fillId="0" borderId="2" xfId="0" applyFont="1" applyBorder="1" applyAlignment="1">
      <alignment horizontal="left" indent="1"/>
    </xf>
    <xf numFmtId="0" fontId="22" fillId="2" borderId="2" xfId="0" applyFont="1" applyFill="1" applyBorder="1" applyAlignment="1">
      <alignment horizontal="center" vertical="center"/>
    </xf>
    <xf numFmtId="0" fontId="13" fillId="2" borderId="2" xfId="2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left" vertical="top" wrapText="1"/>
    </xf>
    <xf numFmtId="165" fontId="25" fillId="2" borderId="2" xfId="0" applyNumberFormat="1" applyFont="1" applyFill="1" applyBorder="1" applyAlignment="1">
      <alignment horizontal="center" vertical="center" wrapText="1"/>
    </xf>
    <xf numFmtId="170" fontId="25" fillId="2" borderId="2" xfId="0" applyNumberFormat="1" applyFont="1" applyFill="1" applyBorder="1" applyAlignment="1">
      <alignment horizontal="center" vertical="center" wrapText="1"/>
    </xf>
    <xf numFmtId="0" fontId="0" fillId="2" borderId="0" xfId="0" applyFill="1"/>
  </cellXfs>
  <cellStyles count="33188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61"/>
    <cellStyle name="Обычный 10 4 2 3 2 6 2 2 4 2 2 3 2 2" xfId="33173"/>
    <cellStyle name="Обычный 10 4 2 3 2 6 2 2 4 2 2 3 2 2 2" xfId="33180"/>
    <cellStyle name="Обычный 10 4 2 3 2 6 2 2 4 2 2 3 2 2 2 2" xfId="33185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8"/>
    <cellStyle name="Обычный 10 4 5 6 2 2 4 2 2 3 2 2" xfId="33171"/>
    <cellStyle name="Обычный 10 4 5 6 2 2 4 2 2 3 2 2 2" xfId="33178"/>
    <cellStyle name="Обычный 10 4 5 6 2 2 4 2 2 3 2 2 2 2" xfId="33183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60"/>
    <cellStyle name="Обычный 10 6 2 2 2 6 2 2 4 2 2 3 2 2" xfId="33172"/>
    <cellStyle name="Обычный 10 6 2 2 2 6 2 2 4 2 2 3 2 2 2" xfId="33179"/>
    <cellStyle name="Обычный 10 6 2 2 2 6 2 2 4 2 2 3 2 2 2 2" xfId="33184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76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_Прил. 3 к Решению от 30.06.2014" xfId="33170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7"/>
    <cellStyle name="Обычный 7 6 2 2 2 2 3 2 2 4 2 2 3 2 2" xfId="33175"/>
    <cellStyle name="Обычный 7 6 2 2 2 2 3 2 2 4 2 2 3 2 2 2" xfId="33182"/>
    <cellStyle name="Обычный 7 6 2 2 2 2 3 2 2 4 2 2 3 2 2 2 2" xfId="33187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reply_251 1 " xfId="33169"/>
    <cellStyle name="Обычный_Прейскурант на 01.01.2007" xfId="33168"/>
    <cellStyle name="Обычный_Приложение 4 к Решению СМП" xfId="1"/>
    <cellStyle name="Обычный_Раб. мат. к  Комиссии Климов" xfId="33163"/>
    <cellStyle name="Обычный_рабочие мат-лы 31.01.2012" xfId="33164"/>
    <cellStyle name="Обычный_рабочие мат-лы 31.01.2012_1" xfId="33159"/>
    <cellStyle name="Обычный_рабочие мат-лы 31.01.2012_2" xfId="33162"/>
    <cellStyle name="Обычный_Стандарты финал 8 2" xfId="33157"/>
    <cellStyle name="Обычный_ТС на 2011 от 21.02.2011 2" xfId="33165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6"/>
    <cellStyle name="Финансовый 15 2 2 2 3 2 4 2 2 3 2 2" xfId="33174"/>
    <cellStyle name="Финансовый 15 2 2 2 3 2 4 2 2 3 2 2 2" xfId="33181"/>
    <cellStyle name="Финансовый 15 2 2 2 3 2 4 2 2 3 2 2 2 2" xfId="33186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77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FFCC"/>
      <color rgb="FFFFCCFF"/>
      <color rgb="FFFF99FF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4"/>
  <sheetViews>
    <sheetView tabSelected="1" topLeftCell="F1" zoomScale="80" zoomScaleNormal="80" workbookViewId="0">
      <pane xSplit="1" ySplit="11" topLeftCell="G12" activePane="bottomRight" state="frozen"/>
      <selection activeCell="K10" sqref="K10"/>
      <selection pane="topRight" activeCell="K10" sqref="K10"/>
      <selection pane="bottomLeft" activeCell="K10" sqref="K10"/>
      <selection pane="bottomRight" activeCell="T151" sqref="T151"/>
    </sheetView>
  </sheetViews>
  <sheetFormatPr defaultRowHeight="15" x14ac:dyDescent="0.25"/>
  <cols>
    <col min="1" max="1" width="5.140625" style="124" hidden="1" customWidth="1"/>
    <col min="2" max="2" width="13.140625" style="1" hidden="1" customWidth="1"/>
    <col min="3" max="3" width="5.5703125" style="54" customWidth="1"/>
    <col min="4" max="4" width="7" style="54" customWidth="1"/>
    <col min="5" max="5" width="4.5703125" style="170" customWidth="1"/>
    <col min="6" max="6" width="10.28515625" style="54" customWidth="1"/>
    <col min="7" max="7" width="30" style="54" customWidth="1"/>
    <col min="8" max="8" width="32.85546875" style="66" customWidth="1"/>
    <col min="9" max="9" width="16.28515625" style="66" customWidth="1"/>
    <col min="10" max="10" width="15.85546875" style="48" customWidth="1"/>
    <col min="11" max="11" width="15.42578125" style="48" customWidth="1"/>
    <col min="12" max="12" width="15.7109375" style="48" customWidth="1"/>
    <col min="13" max="13" width="16.5703125" style="1" customWidth="1"/>
    <col min="14" max="14" width="18.140625" style="1" customWidth="1"/>
    <col min="15" max="16384" width="9.140625" style="1"/>
  </cols>
  <sheetData>
    <row r="1" spans="1:14" ht="15.75" x14ac:dyDescent="0.25">
      <c r="A1" s="124">
        <v>0</v>
      </c>
      <c r="C1" s="45"/>
      <c r="D1" s="45"/>
      <c r="E1" s="167"/>
      <c r="F1" s="45"/>
      <c r="G1" s="45"/>
      <c r="H1" s="46"/>
      <c r="I1" s="46"/>
      <c r="J1" s="47"/>
      <c r="K1" s="47"/>
      <c r="N1" s="49" t="s">
        <v>373</v>
      </c>
    </row>
    <row r="2" spans="1:14" ht="15.75" x14ac:dyDescent="0.25">
      <c r="A2" s="124">
        <f>A1</f>
        <v>0</v>
      </c>
      <c r="C2" s="45"/>
      <c r="D2" s="45"/>
      <c r="E2" s="167"/>
      <c r="F2" s="45"/>
      <c r="G2" s="45"/>
      <c r="H2" s="46"/>
      <c r="I2" s="46"/>
      <c r="J2" s="47"/>
      <c r="K2" s="47"/>
      <c r="N2" s="50" t="s">
        <v>489</v>
      </c>
    </row>
    <row r="3" spans="1:14" ht="15.75" x14ac:dyDescent="0.25">
      <c r="A3" s="124">
        <f t="shared" ref="A3:A66" si="0">A2</f>
        <v>0</v>
      </c>
      <c r="C3" s="45"/>
      <c r="D3" s="45"/>
      <c r="E3" s="167"/>
      <c r="F3" s="45"/>
      <c r="G3" s="45"/>
      <c r="H3" s="46"/>
      <c r="I3" s="46"/>
      <c r="J3" s="47"/>
      <c r="K3" s="47"/>
      <c r="N3" s="50" t="s">
        <v>0</v>
      </c>
    </row>
    <row r="4" spans="1:14" ht="15.75" x14ac:dyDescent="0.25">
      <c r="A4" s="124">
        <f t="shared" si="0"/>
        <v>0</v>
      </c>
      <c r="C4" s="45"/>
      <c r="D4" s="45"/>
      <c r="E4" s="167"/>
      <c r="F4" s="45"/>
      <c r="G4" s="45"/>
      <c r="H4" s="46"/>
      <c r="I4" s="46"/>
      <c r="J4" s="47"/>
      <c r="K4" s="47"/>
      <c r="N4" s="50" t="s">
        <v>1</v>
      </c>
    </row>
    <row r="5" spans="1:14" x14ac:dyDescent="0.25">
      <c r="A5" s="124">
        <f t="shared" si="0"/>
        <v>0</v>
      </c>
      <c r="C5" s="1"/>
      <c r="D5" s="1"/>
      <c r="E5" s="168"/>
      <c r="F5" s="1"/>
      <c r="G5" s="1"/>
      <c r="H5" s="1"/>
      <c r="I5" s="1"/>
      <c r="J5" s="1"/>
      <c r="K5" s="1"/>
      <c r="N5" s="51" t="s">
        <v>492</v>
      </c>
    </row>
    <row r="6" spans="1:14" ht="15.75" x14ac:dyDescent="0.25">
      <c r="A6" s="124">
        <f t="shared" si="0"/>
        <v>0</v>
      </c>
      <c r="C6" s="45"/>
      <c r="D6" s="45"/>
      <c r="E6" s="167"/>
      <c r="F6" s="45"/>
      <c r="G6" s="45"/>
      <c r="H6" s="45"/>
      <c r="I6" s="45"/>
      <c r="J6" s="45"/>
      <c r="K6" s="45"/>
      <c r="L6" s="45"/>
    </row>
    <row r="7" spans="1:14" ht="48" customHeight="1" x14ac:dyDescent="0.3">
      <c r="A7" s="124">
        <f t="shared" si="0"/>
        <v>0</v>
      </c>
      <c r="C7" s="52"/>
      <c r="D7" s="52"/>
      <c r="E7" s="169"/>
      <c r="F7" s="451" t="s">
        <v>376</v>
      </c>
      <c r="G7" s="451"/>
      <c r="H7" s="451"/>
      <c r="I7" s="451"/>
      <c r="J7" s="451"/>
      <c r="K7" s="451"/>
      <c r="L7" s="451"/>
      <c r="M7" s="451"/>
      <c r="N7" s="451"/>
    </row>
    <row r="8" spans="1:14" ht="5.25" customHeight="1" x14ac:dyDescent="0.3">
      <c r="A8" s="124">
        <f t="shared" si="0"/>
        <v>0</v>
      </c>
      <c r="C8" s="52"/>
      <c r="D8" s="52"/>
      <c r="E8" s="169"/>
      <c r="F8" s="53"/>
      <c r="G8" s="53"/>
      <c r="H8" s="106"/>
      <c r="I8" s="106"/>
      <c r="J8" s="106"/>
      <c r="K8" s="106"/>
      <c r="L8" s="106"/>
    </row>
    <row r="9" spans="1:14" s="54" customFormat="1" ht="22.5" customHeight="1" x14ac:dyDescent="0.25">
      <c r="A9" s="124">
        <f t="shared" si="0"/>
        <v>0</v>
      </c>
      <c r="B9" s="446" t="s">
        <v>182</v>
      </c>
      <c r="C9" s="447" t="s">
        <v>2</v>
      </c>
      <c r="D9" s="55"/>
      <c r="E9" s="55"/>
      <c r="F9" s="448" t="s">
        <v>2</v>
      </c>
      <c r="G9" s="448" t="s">
        <v>232</v>
      </c>
      <c r="H9" s="448" t="s">
        <v>239</v>
      </c>
      <c r="I9" s="455" t="s">
        <v>473</v>
      </c>
      <c r="J9" s="455"/>
      <c r="K9" s="455"/>
      <c r="L9" s="456" t="s">
        <v>95</v>
      </c>
      <c r="M9" s="457"/>
      <c r="N9" s="458"/>
    </row>
    <row r="10" spans="1:14" s="54" customFormat="1" ht="17.25" customHeight="1" x14ac:dyDescent="0.25">
      <c r="A10" s="124">
        <f t="shared" si="0"/>
        <v>0</v>
      </c>
      <c r="B10" s="446"/>
      <c r="C10" s="447"/>
      <c r="D10" s="55"/>
      <c r="E10" s="55"/>
      <c r="F10" s="449"/>
      <c r="G10" s="449"/>
      <c r="H10" s="449"/>
      <c r="I10" s="452" t="s">
        <v>183</v>
      </c>
      <c r="J10" s="452" t="s">
        <v>184</v>
      </c>
      <c r="K10" s="452"/>
      <c r="L10" s="453" t="s">
        <v>183</v>
      </c>
      <c r="M10" s="459" t="s">
        <v>184</v>
      </c>
      <c r="N10" s="460"/>
    </row>
    <row r="11" spans="1:14" s="54" customFormat="1" ht="36" customHeight="1" x14ac:dyDescent="0.25">
      <c r="A11" s="124">
        <f t="shared" si="0"/>
        <v>0</v>
      </c>
      <c r="B11" s="446"/>
      <c r="C11" s="55"/>
      <c r="D11" s="55"/>
      <c r="E11" s="55"/>
      <c r="F11" s="450"/>
      <c r="G11" s="450"/>
      <c r="H11" s="450"/>
      <c r="I11" s="452"/>
      <c r="J11" s="241" t="s">
        <v>185</v>
      </c>
      <c r="K11" s="241" t="s">
        <v>186</v>
      </c>
      <c r="L11" s="454"/>
      <c r="M11" s="123" t="s">
        <v>185</v>
      </c>
      <c r="N11" s="123" t="s">
        <v>186</v>
      </c>
    </row>
    <row r="12" spans="1:14" s="54" customFormat="1" ht="19.5" customHeight="1" x14ac:dyDescent="0.25">
      <c r="A12" s="124">
        <f t="shared" si="0"/>
        <v>0</v>
      </c>
      <c r="B12" s="240"/>
      <c r="C12" s="56" t="str">
        <f t="shared" ref="C12:C39" si="1">VLOOKUP(E12,$F$12:$G$336,2,0)</f>
        <v xml:space="preserve">ОГАУЗ "Александровская РБ" </v>
      </c>
      <c r="D12" s="56"/>
      <c r="E12" s="55">
        <v>61</v>
      </c>
      <c r="F12" s="129">
        <v>61</v>
      </c>
      <c r="G12" s="433" t="s">
        <v>111</v>
      </c>
      <c r="H12" s="434"/>
      <c r="I12" s="142"/>
      <c r="J12" s="142"/>
      <c r="K12" s="142"/>
      <c r="L12" s="149"/>
      <c r="M12" s="149"/>
      <c r="N12" s="149"/>
    </row>
    <row r="13" spans="1:14" s="54" customFormat="1" ht="93.75" customHeight="1" x14ac:dyDescent="0.25">
      <c r="A13" s="124">
        <f>A12</f>
        <v>0</v>
      </c>
      <c r="C13" s="56" t="str">
        <f t="shared" si="1"/>
        <v xml:space="preserve">ОГАУЗ "Александровская РБ" </v>
      </c>
      <c r="D13" s="58"/>
      <c r="E13" s="170">
        <v>61</v>
      </c>
      <c r="F13" s="131"/>
      <c r="G13" s="132"/>
      <c r="H13" s="135" t="s">
        <v>479</v>
      </c>
      <c r="I13" s="142">
        <f t="shared" ref="I13:I18" si="2">J13+K13</f>
        <v>77</v>
      </c>
      <c r="J13" s="142">
        <v>77</v>
      </c>
      <c r="K13" s="142"/>
      <c r="L13" s="149">
        <f>M13+N13</f>
        <v>3017.7</v>
      </c>
      <c r="M13" s="149">
        <v>3017.7</v>
      </c>
      <c r="N13" s="149"/>
    </row>
    <row r="14" spans="1:14" s="54" customFormat="1" ht="15.75" x14ac:dyDescent="0.25">
      <c r="A14" s="124" t="e">
        <f>#REF!</f>
        <v>#REF!</v>
      </c>
      <c r="C14" s="56" t="str">
        <f t="shared" si="1"/>
        <v xml:space="preserve">ОГАУЗ "Александровская РБ" </v>
      </c>
      <c r="D14" s="58"/>
      <c r="E14" s="170">
        <v>61</v>
      </c>
      <c r="F14" s="131"/>
      <c r="G14" s="132"/>
      <c r="H14" s="133" t="s">
        <v>6</v>
      </c>
      <c r="I14" s="142">
        <f t="shared" si="2"/>
        <v>186</v>
      </c>
      <c r="J14" s="142">
        <v>186</v>
      </c>
      <c r="K14" s="142"/>
      <c r="L14" s="149">
        <f t="shared" ref="L14:L18" si="3">M14+N14</f>
        <v>9502.2999999999993</v>
      </c>
      <c r="M14" s="149">
        <v>9502.2999999999993</v>
      </c>
      <c r="N14" s="149"/>
    </row>
    <row r="15" spans="1:14" s="54" customFormat="1" ht="15.75" x14ac:dyDescent="0.25">
      <c r="A15" s="124" t="e">
        <f t="shared" si="0"/>
        <v>#REF!</v>
      </c>
      <c r="C15" s="56" t="str">
        <f t="shared" si="1"/>
        <v xml:space="preserve">ОГАУЗ "Александровская РБ" </v>
      </c>
      <c r="D15" s="58"/>
      <c r="E15" s="170">
        <v>61</v>
      </c>
      <c r="F15" s="131"/>
      <c r="G15" s="132"/>
      <c r="H15" s="133" t="s">
        <v>7</v>
      </c>
      <c r="I15" s="142">
        <f t="shared" si="2"/>
        <v>318</v>
      </c>
      <c r="J15" s="142">
        <v>318</v>
      </c>
      <c r="K15" s="142"/>
      <c r="L15" s="149">
        <f t="shared" si="3"/>
        <v>17348.2</v>
      </c>
      <c r="M15" s="149">
        <v>17348.2</v>
      </c>
      <c r="N15" s="149"/>
    </row>
    <row r="16" spans="1:14" s="54" customFormat="1" ht="15.75" x14ac:dyDescent="0.25">
      <c r="A16" s="124" t="e">
        <f t="shared" si="0"/>
        <v>#REF!</v>
      </c>
      <c r="C16" s="56" t="str">
        <f t="shared" si="1"/>
        <v xml:space="preserve">ОГАУЗ "Александровская РБ" </v>
      </c>
      <c r="D16" s="58"/>
      <c r="E16" s="170">
        <v>61</v>
      </c>
      <c r="F16" s="131"/>
      <c r="G16" s="132"/>
      <c r="H16" s="133" t="s">
        <v>8</v>
      </c>
      <c r="I16" s="142">
        <f t="shared" si="2"/>
        <v>604</v>
      </c>
      <c r="J16" s="142">
        <f>725-121</f>
        <v>604</v>
      </c>
      <c r="K16" s="142"/>
      <c r="L16" s="149">
        <f t="shared" si="3"/>
        <v>39840.300000000003</v>
      </c>
      <c r="M16" s="149">
        <v>39840.300000000003</v>
      </c>
      <c r="N16" s="149"/>
    </row>
    <row r="17" spans="1:14" s="54" customFormat="1" ht="15.75" x14ac:dyDescent="0.25">
      <c r="A17" s="124" t="e">
        <f t="shared" si="0"/>
        <v>#REF!</v>
      </c>
      <c r="C17" s="56" t="str">
        <f t="shared" si="1"/>
        <v xml:space="preserve">ОГАУЗ "Александровская РБ" </v>
      </c>
      <c r="D17" s="58"/>
      <c r="E17" s="170">
        <v>61</v>
      </c>
      <c r="F17" s="131"/>
      <c r="G17" s="134"/>
      <c r="H17" s="133" t="s">
        <v>4</v>
      </c>
      <c r="I17" s="142">
        <f t="shared" si="2"/>
        <v>266</v>
      </c>
      <c r="J17" s="142">
        <v>266</v>
      </c>
      <c r="K17" s="142"/>
      <c r="L17" s="149">
        <f t="shared" si="3"/>
        <v>11950.5</v>
      </c>
      <c r="M17" s="149">
        <v>11950.5</v>
      </c>
      <c r="N17" s="149"/>
    </row>
    <row r="18" spans="1:14" s="54" customFormat="1" ht="15.75" x14ac:dyDescent="0.25">
      <c r="A18" s="124" t="e">
        <f t="shared" si="0"/>
        <v>#REF!</v>
      </c>
      <c r="B18" s="247"/>
      <c r="C18" s="56" t="str">
        <f t="shared" si="1"/>
        <v xml:space="preserve">ОГАУЗ "Александровская РБ" </v>
      </c>
      <c r="D18" s="58"/>
      <c r="E18" s="170">
        <v>61</v>
      </c>
      <c r="F18" s="131"/>
      <c r="G18" s="134"/>
      <c r="H18" s="133" t="s">
        <v>5</v>
      </c>
      <c r="I18" s="142">
        <f t="shared" si="2"/>
        <v>45</v>
      </c>
      <c r="J18" s="142">
        <v>45</v>
      </c>
      <c r="K18" s="142"/>
      <c r="L18" s="149">
        <f t="shared" si="3"/>
        <v>3174.3</v>
      </c>
      <c r="M18" s="149">
        <v>3174.3</v>
      </c>
      <c r="N18" s="149"/>
    </row>
    <row r="19" spans="1:14" s="54" customFormat="1" ht="15.75" x14ac:dyDescent="0.25">
      <c r="A19" s="124" t="e">
        <f>#REF!</f>
        <v>#REF!</v>
      </c>
      <c r="C19" s="56" t="str">
        <f t="shared" si="1"/>
        <v xml:space="preserve">ОГАУЗ "Александровская РБ" </v>
      </c>
      <c r="D19" s="58">
        <v>61</v>
      </c>
      <c r="E19" s="170">
        <v>61</v>
      </c>
      <c r="F19" s="131"/>
      <c r="G19" s="153"/>
      <c r="H19" s="154" t="s">
        <v>188</v>
      </c>
      <c r="I19" s="155">
        <f>ROUND(I13+I14+I15+I16+I17+I18,1)</f>
        <v>1496</v>
      </c>
      <c r="J19" s="155">
        <f>ROUND(J13+J14+J15+J16+J17+J18,1)</f>
        <v>1496</v>
      </c>
      <c r="K19" s="156">
        <f t="shared" ref="K19:N19" si="4">ROUND(K13+K14+K15+K16+K17+K18,1)</f>
        <v>0</v>
      </c>
      <c r="L19" s="156">
        <f t="shared" si="4"/>
        <v>84833.3</v>
      </c>
      <c r="M19" s="156">
        <f t="shared" si="4"/>
        <v>84833.3</v>
      </c>
      <c r="N19" s="156">
        <f t="shared" si="4"/>
        <v>0</v>
      </c>
    </row>
    <row r="20" spans="1:14" s="54" customFormat="1" ht="19.5" customHeight="1" x14ac:dyDescent="0.25">
      <c r="A20" s="124" t="e">
        <f t="shared" si="0"/>
        <v>#REF!</v>
      </c>
      <c r="C20" s="56" t="str">
        <f t="shared" si="1"/>
        <v>ОГБУЗ "Асиновская РБ"</v>
      </c>
      <c r="D20" s="58"/>
      <c r="E20" s="170">
        <v>59</v>
      </c>
      <c r="F20" s="131">
        <v>59</v>
      </c>
      <c r="G20" s="433" t="s">
        <v>29</v>
      </c>
      <c r="H20" s="434"/>
      <c r="I20" s="142"/>
      <c r="J20" s="142"/>
      <c r="K20" s="144"/>
      <c r="L20" s="149"/>
      <c r="M20" s="149"/>
      <c r="N20" s="149"/>
    </row>
    <row r="21" spans="1:14" s="54" customFormat="1" ht="90" x14ac:dyDescent="0.25">
      <c r="A21" s="124" t="e">
        <f t="shared" si="0"/>
        <v>#REF!</v>
      </c>
      <c r="C21" s="56" t="str">
        <f t="shared" si="1"/>
        <v>ОГБУЗ "Асиновская РБ"</v>
      </c>
      <c r="D21" s="58"/>
      <c r="E21" s="170">
        <v>59</v>
      </c>
      <c r="F21" s="131"/>
      <c r="G21" s="132"/>
      <c r="H21" s="135" t="s">
        <v>479</v>
      </c>
      <c r="I21" s="142">
        <f t="shared" ref="I21:I33" si="5">J21+K21</f>
        <v>1207</v>
      </c>
      <c r="J21" s="142">
        <v>1207</v>
      </c>
      <c r="K21" s="144"/>
      <c r="L21" s="149">
        <f t="shared" ref="L21:L33" si="6">M21+N21</f>
        <v>52644.1</v>
      </c>
      <c r="M21" s="149">
        <v>52644.1</v>
      </c>
      <c r="N21" s="149"/>
    </row>
    <row r="22" spans="1:14" s="54" customFormat="1" ht="30" x14ac:dyDescent="0.25">
      <c r="A22" s="124" t="e">
        <f t="shared" si="0"/>
        <v>#REF!</v>
      </c>
      <c r="C22" s="56" t="str">
        <f t="shared" si="1"/>
        <v>ОГБУЗ "Асиновская РБ"</v>
      </c>
      <c r="D22" s="58"/>
      <c r="E22" s="170">
        <v>59</v>
      </c>
      <c r="F22" s="131"/>
      <c r="G22" s="132"/>
      <c r="H22" s="140" t="s">
        <v>187</v>
      </c>
      <c r="I22" s="142">
        <f t="shared" si="5"/>
        <v>247</v>
      </c>
      <c r="J22" s="142">
        <v>247</v>
      </c>
      <c r="K22" s="144"/>
      <c r="L22" s="149">
        <f t="shared" si="6"/>
        <v>13729.3</v>
      </c>
      <c r="M22" s="149">
        <v>13729.3</v>
      </c>
      <c r="N22" s="149"/>
    </row>
    <row r="23" spans="1:14" s="54" customFormat="1" ht="30" x14ac:dyDescent="0.25">
      <c r="A23" s="124" t="e">
        <f t="shared" si="0"/>
        <v>#REF!</v>
      </c>
      <c r="C23" s="56" t="str">
        <f t="shared" si="1"/>
        <v>ОГБУЗ "Асиновская РБ"</v>
      </c>
      <c r="D23" s="58"/>
      <c r="E23" s="170">
        <v>59</v>
      </c>
      <c r="F23" s="131"/>
      <c r="G23" s="132"/>
      <c r="H23" s="140" t="s">
        <v>374</v>
      </c>
      <c r="I23" s="142">
        <f t="shared" si="5"/>
        <v>291</v>
      </c>
      <c r="J23" s="142">
        <v>291</v>
      </c>
      <c r="K23" s="144"/>
      <c r="L23" s="149">
        <f t="shared" si="6"/>
        <v>29870.1</v>
      </c>
      <c r="M23" s="149">
        <v>29870.1</v>
      </c>
      <c r="N23" s="149"/>
    </row>
    <row r="24" spans="1:14" s="54" customFormat="1" ht="15.75" x14ac:dyDescent="0.25">
      <c r="A24" s="124" t="e">
        <f t="shared" si="0"/>
        <v>#REF!</v>
      </c>
      <c r="C24" s="56" t="str">
        <f t="shared" si="1"/>
        <v>ОГБУЗ "Асиновская РБ"</v>
      </c>
      <c r="D24" s="58"/>
      <c r="E24" s="170">
        <v>59</v>
      </c>
      <c r="F24" s="131"/>
      <c r="G24" s="132"/>
      <c r="H24" s="133" t="s">
        <v>6</v>
      </c>
      <c r="I24" s="142">
        <f t="shared" si="5"/>
        <v>507</v>
      </c>
      <c r="J24" s="142">
        <v>507</v>
      </c>
      <c r="K24" s="144"/>
      <c r="L24" s="149">
        <f t="shared" si="6"/>
        <v>32388.400000000001</v>
      </c>
      <c r="M24" s="149">
        <v>32388.400000000001</v>
      </c>
      <c r="N24" s="149"/>
    </row>
    <row r="25" spans="1:14" s="54" customFormat="1" ht="15.75" x14ac:dyDescent="0.25">
      <c r="A25" s="124" t="e">
        <f t="shared" si="0"/>
        <v>#REF!</v>
      </c>
      <c r="C25" s="56" t="str">
        <f t="shared" si="1"/>
        <v>ОГБУЗ "Асиновская РБ"</v>
      </c>
      <c r="D25" s="58"/>
      <c r="E25" s="170">
        <v>59</v>
      </c>
      <c r="F25" s="131"/>
      <c r="G25" s="132"/>
      <c r="H25" s="133" t="s">
        <v>16</v>
      </c>
      <c r="I25" s="142">
        <f t="shared" si="5"/>
        <v>768</v>
      </c>
      <c r="J25" s="142">
        <v>768</v>
      </c>
      <c r="K25" s="144"/>
      <c r="L25" s="149">
        <f t="shared" si="6"/>
        <v>34943.199999999997</v>
      </c>
      <c r="M25" s="149">
        <v>34943.199999999997</v>
      </c>
      <c r="N25" s="149"/>
    </row>
    <row r="26" spans="1:14" s="54" customFormat="1" ht="15.75" x14ac:dyDescent="0.25">
      <c r="A26" s="124" t="e">
        <f t="shared" si="0"/>
        <v>#REF!</v>
      </c>
      <c r="C26" s="56" t="str">
        <f t="shared" si="1"/>
        <v>ОГБУЗ "Асиновская РБ"</v>
      </c>
      <c r="D26" s="58"/>
      <c r="E26" s="170">
        <v>59</v>
      </c>
      <c r="F26" s="131"/>
      <c r="G26" s="132"/>
      <c r="H26" s="133" t="s">
        <v>9</v>
      </c>
      <c r="I26" s="142">
        <f t="shared" si="5"/>
        <v>633</v>
      </c>
      <c r="J26" s="142">
        <v>633</v>
      </c>
      <c r="K26" s="144"/>
      <c r="L26" s="149">
        <f t="shared" si="6"/>
        <v>69730.600000000006</v>
      </c>
      <c r="M26" s="149">
        <v>69730.600000000006</v>
      </c>
      <c r="N26" s="149"/>
    </row>
    <row r="27" spans="1:14" s="54" customFormat="1" ht="15.75" x14ac:dyDescent="0.25">
      <c r="A27" s="124" t="e">
        <f t="shared" si="0"/>
        <v>#REF!</v>
      </c>
      <c r="C27" s="56" t="str">
        <f t="shared" si="1"/>
        <v>ОГБУЗ "Асиновская РБ"</v>
      </c>
      <c r="D27" s="58"/>
      <c r="E27" s="170">
        <v>59</v>
      </c>
      <c r="F27" s="131"/>
      <c r="G27" s="132"/>
      <c r="H27" s="133" t="s">
        <v>189</v>
      </c>
      <c r="I27" s="142">
        <f t="shared" si="5"/>
        <v>69</v>
      </c>
      <c r="J27" s="142">
        <v>69</v>
      </c>
      <c r="K27" s="144"/>
      <c r="L27" s="149">
        <f t="shared" si="6"/>
        <v>5751.1</v>
      </c>
      <c r="M27" s="149">
        <v>5751.1</v>
      </c>
      <c r="N27" s="149"/>
    </row>
    <row r="28" spans="1:14" s="54" customFormat="1" ht="15.75" x14ac:dyDescent="0.25">
      <c r="A28" s="124" t="e">
        <f t="shared" si="0"/>
        <v>#REF!</v>
      </c>
      <c r="C28" s="56" t="str">
        <f t="shared" si="1"/>
        <v>ОГБУЗ "Асиновская РБ"</v>
      </c>
      <c r="D28" s="58"/>
      <c r="E28" s="170">
        <v>59</v>
      </c>
      <c r="F28" s="131"/>
      <c r="G28" s="132"/>
      <c r="H28" s="133" t="s">
        <v>7</v>
      </c>
      <c r="I28" s="142">
        <f t="shared" si="5"/>
        <v>328</v>
      </c>
      <c r="J28" s="142">
        <v>328</v>
      </c>
      <c r="K28" s="144"/>
      <c r="L28" s="149">
        <f t="shared" si="6"/>
        <v>18266.599999999999</v>
      </c>
      <c r="M28" s="149">
        <v>18266.599999999999</v>
      </c>
      <c r="N28" s="149"/>
    </row>
    <row r="29" spans="1:14" s="54" customFormat="1" ht="15.75" x14ac:dyDescent="0.25">
      <c r="A29" s="124" t="e">
        <f t="shared" si="0"/>
        <v>#REF!</v>
      </c>
      <c r="C29" s="56" t="str">
        <f t="shared" si="1"/>
        <v>ОГБУЗ "Асиновская РБ"</v>
      </c>
      <c r="D29" s="58"/>
      <c r="E29" s="170">
        <v>59</v>
      </c>
      <c r="F29" s="131"/>
      <c r="G29" s="132"/>
      <c r="H29" s="133" t="s">
        <v>8</v>
      </c>
      <c r="I29" s="142">
        <f t="shared" si="5"/>
        <v>1321</v>
      </c>
      <c r="J29" s="142">
        <v>1321</v>
      </c>
      <c r="K29" s="144"/>
      <c r="L29" s="149">
        <f t="shared" si="6"/>
        <v>52240</v>
      </c>
      <c r="M29" s="149">
        <f>71465.8-4225.8-15000</f>
        <v>52240</v>
      </c>
      <c r="N29" s="149"/>
    </row>
    <row r="30" spans="1:14" s="54" customFormat="1" ht="15.75" x14ac:dyDescent="0.25">
      <c r="A30" s="124" t="e">
        <f t="shared" si="0"/>
        <v>#REF!</v>
      </c>
      <c r="C30" s="56" t="str">
        <f t="shared" si="1"/>
        <v>ОГБУЗ "Асиновская РБ"</v>
      </c>
      <c r="D30" s="58"/>
      <c r="E30" s="170">
        <v>59</v>
      </c>
      <c r="F30" s="131"/>
      <c r="G30" s="132"/>
      <c r="H30" s="133" t="s">
        <v>5</v>
      </c>
      <c r="I30" s="142">
        <f t="shared" si="5"/>
        <v>262</v>
      </c>
      <c r="J30" s="142">
        <v>262</v>
      </c>
      <c r="K30" s="144"/>
      <c r="L30" s="149">
        <f t="shared" si="6"/>
        <v>20568.900000000001</v>
      </c>
      <c r="M30" s="149">
        <v>20568.900000000001</v>
      </c>
      <c r="N30" s="149"/>
    </row>
    <row r="31" spans="1:14" s="54" customFormat="1" ht="15.75" x14ac:dyDescent="0.25">
      <c r="A31" s="124" t="e">
        <f t="shared" si="0"/>
        <v>#REF!</v>
      </c>
      <c r="B31" s="247"/>
      <c r="C31" s="56" t="str">
        <f t="shared" si="1"/>
        <v>ОГБУЗ "Асиновская РБ"</v>
      </c>
      <c r="D31" s="58"/>
      <c r="E31" s="170">
        <v>59</v>
      </c>
      <c r="F31" s="131"/>
      <c r="G31" s="132"/>
      <c r="H31" s="133" t="s">
        <v>13</v>
      </c>
      <c r="I31" s="142">
        <f t="shared" si="5"/>
        <v>279</v>
      </c>
      <c r="J31" s="142">
        <v>279</v>
      </c>
      <c r="K31" s="144"/>
      <c r="L31" s="149">
        <f t="shared" si="6"/>
        <v>21125.4</v>
      </c>
      <c r="M31" s="149">
        <v>21125.4</v>
      </c>
      <c r="N31" s="149"/>
    </row>
    <row r="32" spans="1:14" s="54" customFormat="1" ht="19.5" customHeight="1" x14ac:dyDescent="0.25">
      <c r="A32" s="124" t="e">
        <f t="shared" si="0"/>
        <v>#REF!</v>
      </c>
      <c r="B32" s="62"/>
      <c r="C32" s="56" t="str">
        <f t="shared" si="1"/>
        <v>ОГБУЗ "Асиновская РБ"</v>
      </c>
      <c r="D32" s="58"/>
      <c r="E32" s="170">
        <v>59</v>
      </c>
      <c r="F32" s="131"/>
      <c r="G32" s="132"/>
      <c r="H32" s="133" t="s">
        <v>4</v>
      </c>
      <c r="I32" s="142">
        <f t="shared" si="5"/>
        <v>626</v>
      </c>
      <c r="J32" s="142">
        <v>626</v>
      </c>
      <c r="K32" s="144"/>
      <c r="L32" s="149">
        <f t="shared" si="6"/>
        <v>32356.3</v>
      </c>
      <c r="M32" s="149">
        <v>32356.3</v>
      </c>
      <c r="N32" s="149"/>
    </row>
    <row r="33" spans="1:14" s="54" customFormat="1" ht="15.75" x14ac:dyDescent="0.25">
      <c r="A33" s="124" t="e">
        <f t="shared" si="0"/>
        <v>#REF!</v>
      </c>
      <c r="C33" s="56" t="str">
        <f t="shared" si="1"/>
        <v>ОГБУЗ "Асиновская РБ"</v>
      </c>
      <c r="D33" s="58"/>
      <c r="E33" s="170">
        <v>59</v>
      </c>
      <c r="F33" s="131"/>
      <c r="G33" s="132"/>
      <c r="H33" s="133" t="s">
        <v>201</v>
      </c>
      <c r="I33" s="142">
        <f t="shared" si="5"/>
        <v>240</v>
      </c>
      <c r="J33" s="142">
        <v>240</v>
      </c>
      <c r="K33" s="144"/>
      <c r="L33" s="149">
        <f t="shared" si="6"/>
        <v>32255.8</v>
      </c>
      <c r="M33" s="149">
        <f>28030+4225.8</f>
        <v>32255.8</v>
      </c>
      <c r="N33" s="149"/>
    </row>
    <row r="34" spans="1:14" s="54" customFormat="1" ht="15.75" x14ac:dyDescent="0.25">
      <c r="A34" s="124" t="e">
        <f t="shared" si="0"/>
        <v>#REF!</v>
      </c>
      <c r="C34" s="56" t="str">
        <f t="shared" si="1"/>
        <v>ОГБУЗ "Асиновская РБ"</v>
      </c>
      <c r="D34" s="58">
        <v>59</v>
      </c>
      <c r="E34" s="170">
        <v>59</v>
      </c>
      <c r="F34" s="131"/>
      <c r="G34" s="153"/>
      <c r="H34" s="154" t="s">
        <v>188</v>
      </c>
      <c r="I34" s="155">
        <f>ROUND(I20+I21+I24+I25+I26+I27+I28+I29+I30+I31+I32+I33,0)</f>
        <v>6240</v>
      </c>
      <c r="J34" s="155">
        <f>ROUND(J20+J21+J24+J25+J26+J27+J28+J29+J30+J31+J32+J33,0)</f>
        <v>6240</v>
      </c>
      <c r="K34" s="155">
        <f>ROUND(K20+K21+K24+K25+K26+K27+K28+K29+K30+K31+K32+K33,0)</f>
        <v>0</v>
      </c>
      <c r="L34" s="156">
        <f t="shared" ref="L34:N34" si="7">L20+L21+L24+L25+L26+L27+L28+L29+L30+L31+L32+L33</f>
        <v>372270.4</v>
      </c>
      <c r="M34" s="156">
        <f t="shared" si="7"/>
        <v>372270.4</v>
      </c>
      <c r="N34" s="156">
        <f t="shared" si="7"/>
        <v>0</v>
      </c>
    </row>
    <row r="35" spans="1:14" s="54" customFormat="1" ht="22.5" customHeight="1" x14ac:dyDescent="0.25">
      <c r="A35" s="124" t="e">
        <f t="shared" si="0"/>
        <v>#REF!</v>
      </c>
      <c r="C35" s="56" t="str">
        <f t="shared" si="1"/>
        <v>ОГБУЗ "Бакчарская РБ"</v>
      </c>
      <c r="D35" s="58"/>
      <c r="E35" s="170">
        <v>63</v>
      </c>
      <c r="F35" s="131">
        <v>63</v>
      </c>
      <c r="G35" s="433" t="s">
        <v>30</v>
      </c>
      <c r="H35" s="434"/>
      <c r="I35" s="142"/>
      <c r="J35" s="142"/>
      <c r="K35" s="144"/>
      <c r="L35" s="149"/>
      <c r="M35" s="149"/>
      <c r="N35" s="149"/>
    </row>
    <row r="36" spans="1:14" s="54" customFormat="1" ht="15.75" x14ac:dyDescent="0.25">
      <c r="A36" s="124" t="e">
        <f>#REF!</f>
        <v>#REF!</v>
      </c>
      <c r="C36" s="56" t="str">
        <f t="shared" si="1"/>
        <v>ОГБУЗ "Бакчарская РБ"</v>
      </c>
      <c r="D36" s="58"/>
      <c r="E36" s="170">
        <v>63</v>
      </c>
      <c r="F36" s="131"/>
      <c r="G36" s="132"/>
      <c r="H36" s="133" t="s">
        <v>7</v>
      </c>
      <c r="I36" s="142">
        <f t="shared" ref="I36:I38" si="8">J36+K36</f>
        <v>356</v>
      </c>
      <c r="J36" s="142">
        <v>356</v>
      </c>
      <c r="K36" s="144"/>
      <c r="L36" s="149">
        <f t="shared" ref="L36:L38" si="9">M36+N36</f>
        <v>29658.799999999999</v>
      </c>
      <c r="M36" s="149">
        <v>29658.799999999999</v>
      </c>
      <c r="N36" s="149"/>
    </row>
    <row r="37" spans="1:14" s="54" customFormat="1" ht="15.75" x14ac:dyDescent="0.25">
      <c r="A37" s="124" t="e">
        <f t="shared" si="0"/>
        <v>#REF!</v>
      </c>
      <c r="B37" s="247"/>
      <c r="C37" s="56" t="str">
        <f t="shared" si="1"/>
        <v>ОГБУЗ "Бакчарская РБ"</v>
      </c>
      <c r="D37" s="58"/>
      <c r="E37" s="170">
        <v>63</v>
      </c>
      <c r="F37" s="131"/>
      <c r="G37" s="132"/>
      <c r="H37" s="133" t="s">
        <v>8</v>
      </c>
      <c r="I37" s="142">
        <f t="shared" si="8"/>
        <v>995</v>
      </c>
      <c r="J37" s="142">
        <v>995</v>
      </c>
      <c r="K37" s="144"/>
      <c r="L37" s="149">
        <f t="shared" si="9"/>
        <v>81911.100000000006</v>
      </c>
      <c r="M37" s="149">
        <v>81911.100000000006</v>
      </c>
      <c r="N37" s="149"/>
    </row>
    <row r="38" spans="1:14" s="54" customFormat="1" ht="19.5" customHeight="1" x14ac:dyDescent="0.25">
      <c r="A38" s="124" t="e">
        <f t="shared" si="0"/>
        <v>#REF!</v>
      </c>
      <c r="B38" s="62"/>
      <c r="C38" s="56" t="str">
        <f t="shared" si="1"/>
        <v>ОГБУЗ "Бакчарская РБ"</v>
      </c>
      <c r="D38" s="58"/>
      <c r="E38" s="170">
        <v>63</v>
      </c>
      <c r="F38" s="131"/>
      <c r="G38" s="132"/>
      <c r="H38" s="133" t="s">
        <v>4</v>
      </c>
      <c r="I38" s="142">
        <f t="shared" si="8"/>
        <v>690</v>
      </c>
      <c r="J38" s="142">
        <v>690</v>
      </c>
      <c r="K38" s="144"/>
      <c r="L38" s="149">
        <f t="shared" si="9"/>
        <v>48493.1</v>
      </c>
      <c r="M38" s="149">
        <v>48493.1</v>
      </c>
      <c r="N38" s="149"/>
    </row>
    <row r="39" spans="1:14" s="54" customFormat="1" ht="15.75" x14ac:dyDescent="0.25">
      <c r="A39" s="124" t="e">
        <f t="shared" si="0"/>
        <v>#REF!</v>
      </c>
      <c r="C39" s="56" t="str">
        <f t="shared" si="1"/>
        <v>ОГБУЗ "Бакчарская РБ"</v>
      </c>
      <c r="D39" s="58">
        <v>63</v>
      </c>
      <c r="E39" s="170">
        <v>63</v>
      </c>
      <c r="F39" s="131"/>
      <c r="G39" s="157"/>
      <c r="H39" s="154" t="s">
        <v>188</v>
      </c>
      <c r="I39" s="155">
        <f>ROUND(I35+I36+I37+I38,0)</f>
        <v>2041</v>
      </c>
      <c r="J39" s="155">
        <f>ROUND(J35+J36+J37+J38,0)</f>
        <v>2041</v>
      </c>
      <c r="K39" s="155">
        <f>ROUND(K35+K36+K37+K38,0)</f>
        <v>0</v>
      </c>
      <c r="L39" s="156">
        <f>ROUND(L35+L36+L37+L38,1)</f>
        <v>160063</v>
      </c>
      <c r="M39" s="156">
        <f>ROUND(M35+M36+M37+M38,1)</f>
        <v>160063</v>
      </c>
      <c r="N39" s="156">
        <f>ROUND(N35+N36+N37+N38,1)</f>
        <v>0</v>
      </c>
    </row>
    <row r="40" spans="1:14" s="54" customFormat="1" ht="20.25" customHeight="1" x14ac:dyDescent="0.25">
      <c r="A40" s="124"/>
      <c r="C40" s="56"/>
      <c r="D40" s="58"/>
      <c r="E40" s="170"/>
      <c r="F40" s="131">
        <v>29</v>
      </c>
      <c r="G40" s="433" t="s">
        <v>190</v>
      </c>
      <c r="H40" s="434"/>
      <c r="I40" s="143"/>
      <c r="J40" s="143"/>
      <c r="K40" s="143"/>
      <c r="L40" s="148"/>
      <c r="M40" s="148"/>
      <c r="N40" s="148"/>
    </row>
    <row r="41" spans="1:14" s="54" customFormat="1" ht="15.75" x14ac:dyDescent="0.25">
      <c r="A41" s="124" t="e">
        <f>A39</f>
        <v>#REF!</v>
      </c>
      <c r="C41" s="56" t="str">
        <f t="shared" ref="C41:C51" si="10">VLOOKUP(E41,$F$12:$G$336,2,0)</f>
        <v>ОГАУЗ "Больница № 2"</v>
      </c>
      <c r="D41" s="58"/>
      <c r="E41" s="170">
        <v>29</v>
      </c>
      <c r="F41" s="131"/>
      <c r="G41" s="152"/>
      <c r="H41" s="122" t="s">
        <v>191</v>
      </c>
      <c r="I41" s="142">
        <f t="shared" ref="I41:I42" si="11">J41+K41</f>
        <v>1312</v>
      </c>
      <c r="J41" s="142">
        <v>1312</v>
      </c>
      <c r="K41" s="144"/>
      <c r="L41" s="149">
        <f t="shared" ref="L41:L42" si="12">M41+N41</f>
        <v>87615</v>
      </c>
      <c r="M41" s="149">
        <f>86543.9+1071.1</f>
        <v>87615</v>
      </c>
      <c r="N41" s="149"/>
    </row>
    <row r="42" spans="1:14" s="54" customFormat="1" ht="15.75" x14ac:dyDescent="0.25">
      <c r="A42" s="124" t="e">
        <f t="shared" si="0"/>
        <v>#REF!</v>
      </c>
      <c r="B42" s="247"/>
      <c r="C42" s="56" t="str">
        <f t="shared" si="10"/>
        <v>ОГАУЗ "Больница № 2"</v>
      </c>
      <c r="D42" s="58"/>
      <c r="E42" s="170">
        <v>29</v>
      </c>
      <c r="F42" s="131"/>
      <c r="G42" s="151"/>
      <c r="H42" s="122" t="s">
        <v>9</v>
      </c>
      <c r="I42" s="142">
        <f t="shared" si="11"/>
        <v>492</v>
      </c>
      <c r="J42" s="142">
        <v>492</v>
      </c>
      <c r="K42" s="144"/>
      <c r="L42" s="149">
        <f t="shared" si="12"/>
        <v>17400.400000000001</v>
      </c>
      <c r="M42" s="149">
        <f>17187.4+213</f>
        <v>17400.400000000001</v>
      </c>
      <c r="N42" s="149"/>
    </row>
    <row r="43" spans="1:14" s="54" customFormat="1" ht="15.75" x14ac:dyDescent="0.25">
      <c r="A43" s="124" t="e">
        <f t="shared" si="0"/>
        <v>#REF!</v>
      </c>
      <c r="B43" s="62"/>
      <c r="C43" s="56" t="str">
        <f t="shared" si="10"/>
        <v>ОГАУЗ "Больница № 2"</v>
      </c>
      <c r="D43" s="58">
        <v>29</v>
      </c>
      <c r="E43" s="170">
        <v>29</v>
      </c>
      <c r="F43" s="131"/>
      <c r="G43" s="158"/>
      <c r="H43" s="159" t="s">
        <v>188</v>
      </c>
      <c r="I43" s="155">
        <f>ROUND(I41+I42,0)</f>
        <v>1804</v>
      </c>
      <c r="J43" s="155">
        <f>ROUND(J41+J42,0)</f>
        <v>1804</v>
      </c>
      <c r="K43" s="155">
        <f>ROUND(K41+K42,0)</f>
        <v>0</v>
      </c>
      <c r="L43" s="156">
        <f t="shared" ref="L43:N43" si="13">ROUND(L41+L42,1)</f>
        <v>105015.4</v>
      </c>
      <c r="M43" s="156">
        <f t="shared" si="13"/>
        <v>105015.4</v>
      </c>
      <c r="N43" s="156">
        <f t="shared" si="13"/>
        <v>0</v>
      </c>
    </row>
    <row r="44" spans="1:14" s="54" customFormat="1" ht="15.75" x14ac:dyDescent="0.25">
      <c r="A44" s="124" t="e">
        <f>A43</f>
        <v>#REF!</v>
      </c>
      <c r="C44" s="56" t="str">
        <f t="shared" si="10"/>
        <v>ОГАУЗ "БСМП № 2"</v>
      </c>
      <c r="D44" s="58"/>
      <c r="E44" s="170">
        <v>139</v>
      </c>
      <c r="F44" s="131">
        <v>139</v>
      </c>
      <c r="G44" s="433" t="s">
        <v>192</v>
      </c>
      <c r="H44" s="434"/>
      <c r="I44" s="142"/>
      <c r="J44" s="142"/>
      <c r="K44" s="144"/>
      <c r="L44" s="149"/>
      <c r="M44" s="149"/>
      <c r="N44" s="149"/>
    </row>
    <row r="45" spans="1:14" s="54" customFormat="1" ht="15.75" x14ac:dyDescent="0.25">
      <c r="A45" s="124" t="e">
        <f t="shared" si="0"/>
        <v>#REF!</v>
      </c>
      <c r="C45" s="56" t="str">
        <f t="shared" si="10"/>
        <v>ОГАУЗ "БСМП № 2"</v>
      </c>
      <c r="D45" s="58"/>
      <c r="E45" s="170">
        <v>139</v>
      </c>
      <c r="F45" s="131"/>
      <c r="G45" s="132"/>
      <c r="H45" s="133" t="s">
        <v>193</v>
      </c>
      <c r="I45" s="142">
        <f t="shared" ref="I45:I50" si="14">J45+K45</f>
        <v>1030</v>
      </c>
      <c r="J45" s="142">
        <v>1030</v>
      </c>
      <c r="K45" s="144"/>
      <c r="L45" s="149">
        <f t="shared" ref="L45:L50" si="15">M45+N45</f>
        <v>65565.100000000006</v>
      </c>
      <c r="M45" s="149">
        <v>65565.100000000006</v>
      </c>
      <c r="N45" s="149"/>
    </row>
    <row r="46" spans="1:14" s="54" customFormat="1" ht="15.75" x14ac:dyDescent="0.25">
      <c r="A46" s="124" t="e">
        <f t="shared" si="0"/>
        <v>#REF!</v>
      </c>
      <c r="C46" s="56" t="str">
        <f t="shared" si="10"/>
        <v>ОГАУЗ "БСМП № 2"</v>
      </c>
      <c r="D46" s="58"/>
      <c r="E46" s="170">
        <v>139</v>
      </c>
      <c r="F46" s="131"/>
      <c r="G46" s="132"/>
      <c r="H46" s="133" t="s">
        <v>57</v>
      </c>
      <c r="I46" s="142">
        <f t="shared" si="14"/>
        <v>2465</v>
      </c>
      <c r="J46" s="142">
        <v>2465</v>
      </c>
      <c r="K46" s="144"/>
      <c r="L46" s="149">
        <f t="shared" si="15"/>
        <v>108897.2</v>
      </c>
      <c r="M46" s="149">
        <v>108897.2</v>
      </c>
      <c r="N46" s="149"/>
    </row>
    <row r="47" spans="1:14" s="54" customFormat="1" ht="15.75" x14ac:dyDescent="0.25">
      <c r="A47" s="124" t="e">
        <f t="shared" si="0"/>
        <v>#REF!</v>
      </c>
      <c r="C47" s="56" t="str">
        <f t="shared" si="10"/>
        <v>ОГАУЗ "БСМП № 2"</v>
      </c>
      <c r="D47" s="58"/>
      <c r="E47" s="170">
        <v>139</v>
      </c>
      <c r="F47" s="131"/>
      <c r="G47" s="132"/>
      <c r="H47" s="133" t="s">
        <v>194</v>
      </c>
      <c r="I47" s="142">
        <f t="shared" si="14"/>
        <v>1320</v>
      </c>
      <c r="J47" s="142">
        <v>1320</v>
      </c>
      <c r="K47" s="144"/>
      <c r="L47" s="149">
        <f t="shared" si="15"/>
        <v>54842.9</v>
      </c>
      <c r="M47" s="149">
        <v>54842.9</v>
      </c>
      <c r="N47" s="149"/>
    </row>
    <row r="48" spans="1:14" s="54" customFormat="1" ht="45" x14ac:dyDescent="0.25">
      <c r="A48" s="124" t="e">
        <f t="shared" si="0"/>
        <v>#REF!</v>
      </c>
      <c r="C48" s="56" t="str">
        <f t="shared" si="10"/>
        <v>ОГАУЗ "БСМП № 2"</v>
      </c>
      <c r="D48" s="58"/>
      <c r="E48" s="170">
        <v>139</v>
      </c>
      <c r="F48" s="131"/>
      <c r="G48" s="132"/>
      <c r="H48" s="133" t="s">
        <v>10</v>
      </c>
      <c r="I48" s="142">
        <f t="shared" si="14"/>
        <v>1295</v>
      </c>
      <c r="J48" s="142">
        <v>1295</v>
      </c>
      <c r="K48" s="144"/>
      <c r="L48" s="149">
        <f t="shared" si="15"/>
        <v>60216.9</v>
      </c>
      <c r="M48" s="149">
        <v>60216.9</v>
      </c>
      <c r="N48" s="149"/>
    </row>
    <row r="49" spans="1:14" s="54" customFormat="1" ht="15.75" x14ac:dyDescent="0.25">
      <c r="A49" s="124" t="e">
        <f t="shared" si="0"/>
        <v>#REF!</v>
      </c>
      <c r="C49" s="56" t="str">
        <f t="shared" si="10"/>
        <v>ОГАУЗ "БСМП № 2"</v>
      </c>
      <c r="D49" s="58"/>
      <c r="E49" s="170">
        <v>139</v>
      </c>
      <c r="F49" s="131"/>
      <c r="G49" s="132"/>
      <c r="H49" s="133" t="s">
        <v>5</v>
      </c>
      <c r="I49" s="142">
        <f t="shared" si="14"/>
        <v>1400</v>
      </c>
      <c r="J49" s="142">
        <v>1400</v>
      </c>
      <c r="K49" s="144"/>
      <c r="L49" s="149">
        <f t="shared" si="15"/>
        <v>83064.600000000006</v>
      </c>
      <c r="M49" s="149">
        <v>83064.600000000006</v>
      </c>
      <c r="N49" s="149"/>
    </row>
    <row r="50" spans="1:14" s="54" customFormat="1" ht="15.75" x14ac:dyDescent="0.25">
      <c r="A50" s="124" t="e">
        <f t="shared" si="0"/>
        <v>#REF!</v>
      </c>
      <c r="B50" s="247"/>
      <c r="C50" s="56" t="str">
        <f t="shared" si="10"/>
        <v>ОГАУЗ "БСМП № 2"</v>
      </c>
      <c r="D50" s="58"/>
      <c r="E50" s="170">
        <v>139</v>
      </c>
      <c r="F50" s="131"/>
      <c r="G50" s="132"/>
      <c r="H50" s="133" t="s">
        <v>195</v>
      </c>
      <c r="I50" s="142">
        <f t="shared" si="14"/>
        <v>190</v>
      </c>
      <c r="J50" s="142">
        <v>190</v>
      </c>
      <c r="K50" s="144"/>
      <c r="L50" s="149">
        <f t="shared" si="15"/>
        <v>22041.3</v>
      </c>
      <c r="M50" s="149">
        <v>22041.3</v>
      </c>
      <c r="N50" s="149"/>
    </row>
    <row r="51" spans="1:14" s="54" customFormat="1" ht="15.75" x14ac:dyDescent="0.25">
      <c r="A51" s="124" t="e">
        <f t="shared" si="0"/>
        <v>#REF!</v>
      </c>
      <c r="B51" s="62"/>
      <c r="C51" s="56" t="str">
        <f t="shared" si="10"/>
        <v>ОГАУЗ "БСМП № 2"</v>
      </c>
      <c r="D51" s="58">
        <v>139</v>
      </c>
      <c r="E51" s="170">
        <v>139</v>
      </c>
      <c r="F51" s="131"/>
      <c r="G51" s="153"/>
      <c r="H51" s="179" t="s">
        <v>188</v>
      </c>
      <c r="I51" s="155">
        <f>ROUND(I44+I45+I46+I47+I48+I49+I50,0)</f>
        <v>7700</v>
      </c>
      <c r="J51" s="155">
        <f>ROUND(J44+J45+J46+J47+J48+J49+J50,0)</f>
        <v>7700</v>
      </c>
      <c r="K51" s="155">
        <f>ROUND(K44+K45+K46+K47+K48+K49+K50,0)</f>
        <v>0</v>
      </c>
      <c r="L51" s="156">
        <f t="shared" ref="L51:N51" si="16">ROUND(L44+L45+L46+L47+L48+L49+L50,1)</f>
        <v>394628</v>
      </c>
      <c r="M51" s="156">
        <f t="shared" si="16"/>
        <v>394628</v>
      </c>
      <c r="N51" s="156">
        <f t="shared" si="16"/>
        <v>0</v>
      </c>
    </row>
    <row r="52" spans="1:14" s="54" customFormat="1" ht="15.75" x14ac:dyDescent="0.25">
      <c r="A52" s="124"/>
      <c r="B52" s="62"/>
      <c r="C52" s="56"/>
      <c r="D52" s="58"/>
      <c r="E52" s="170"/>
      <c r="F52" s="137">
        <v>28</v>
      </c>
      <c r="G52" s="433" t="s">
        <v>11</v>
      </c>
      <c r="H52" s="434"/>
      <c r="I52" s="178"/>
      <c r="J52" s="143"/>
      <c r="K52" s="143"/>
      <c r="L52" s="148"/>
      <c r="M52" s="148"/>
      <c r="N52" s="148"/>
    </row>
    <row r="53" spans="1:14" s="54" customFormat="1" ht="15.75" x14ac:dyDescent="0.25">
      <c r="A53" s="124" t="e">
        <f>A51</f>
        <v>#REF!</v>
      </c>
      <c r="C53" s="56" t="str">
        <f>VLOOKUP(E53,$F$12:$G$336,2,0)</f>
        <v>ОГАУЗ "БСМП"</v>
      </c>
      <c r="D53" s="58"/>
      <c r="E53" s="170">
        <v>28</v>
      </c>
      <c r="F53" s="137"/>
      <c r="G53" s="134"/>
      <c r="H53" s="122" t="s">
        <v>194</v>
      </c>
      <c r="I53" s="180">
        <f t="shared" ref="I53:I54" si="17">J53+K53</f>
        <v>1550</v>
      </c>
      <c r="J53" s="142">
        <v>1550</v>
      </c>
      <c r="K53" s="144"/>
      <c r="L53" s="149">
        <f t="shared" ref="L53:L54" si="18">M53+N53</f>
        <v>195142.9</v>
      </c>
      <c r="M53" s="149">
        <v>195142.9</v>
      </c>
      <c r="N53" s="149"/>
    </row>
    <row r="54" spans="1:14" s="54" customFormat="1" ht="15.75" x14ac:dyDescent="0.25">
      <c r="A54" s="124" t="e">
        <f t="shared" si="0"/>
        <v>#REF!</v>
      </c>
      <c r="C54" s="56" t="str">
        <f>VLOOKUP(E54,$F$12:$G$336,2,0)</f>
        <v>ОГАУЗ "БСМП"</v>
      </c>
      <c r="D54" s="58"/>
      <c r="E54" s="170">
        <v>28</v>
      </c>
      <c r="F54" s="137"/>
      <c r="G54" s="132"/>
      <c r="H54" s="133" t="s">
        <v>5</v>
      </c>
      <c r="I54" s="180">
        <f t="shared" si="17"/>
        <v>4104</v>
      </c>
      <c r="J54" s="142">
        <v>3600</v>
      </c>
      <c r="K54" s="144">
        <f>310+194</f>
        <v>504</v>
      </c>
      <c r="L54" s="149">
        <f t="shared" si="18"/>
        <v>590107.19999999995</v>
      </c>
      <c r="M54" s="149">
        <v>451363.60000000003</v>
      </c>
      <c r="N54" s="149">
        <f>71541.2+6570.4+60632</f>
        <v>138743.59999999998</v>
      </c>
    </row>
    <row r="55" spans="1:14" s="54" customFormat="1" ht="15.75" x14ac:dyDescent="0.25">
      <c r="A55" s="124" t="e">
        <f t="shared" si="0"/>
        <v>#REF!</v>
      </c>
      <c r="B55" s="247"/>
      <c r="C55" s="56" t="str">
        <f>VLOOKUP(E55,$F$12:$G$336,2,0)</f>
        <v>ОГАУЗ "БСМП"</v>
      </c>
      <c r="D55" s="58">
        <v>28</v>
      </c>
      <c r="E55" s="170">
        <v>28</v>
      </c>
      <c r="F55" s="137"/>
      <c r="G55" s="183"/>
      <c r="H55" s="154" t="s">
        <v>188</v>
      </c>
      <c r="I55" s="181">
        <f>ROUND(I53+I54,0)</f>
        <v>5654</v>
      </c>
      <c r="J55" s="181">
        <f>ROUND(J53+J54,0)</f>
        <v>5150</v>
      </c>
      <c r="K55" s="155">
        <f>ROUND(K53+K54,0)</f>
        <v>504</v>
      </c>
      <c r="L55" s="156">
        <f t="shared" ref="L55:N55" si="19">ROUND(L53+L54,1)</f>
        <v>785250.1</v>
      </c>
      <c r="M55" s="156">
        <f t="shared" si="19"/>
        <v>646506.5</v>
      </c>
      <c r="N55" s="156">
        <f t="shared" si="19"/>
        <v>138743.6</v>
      </c>
    </row>
    <row r="56" spans="1:14" s="54" customFormat="1" ht="24" customHeight="1" x14ac:dyDescent="0.25">
      <c r="A56" s="124"/>
      <c r="B56" s="62"/>
      <c r="C56" s="56"/>
      <c r="D56" s="58"/>
      <c r="E56" s="170"/>
      <c r="F56" s="137">
        <v>65</v>
      </c>
      <c r="G56" s="433" t="s">
        <v>31</v>
      </c>
      <c r="H56" s="434"/>
      <c r="I56" s="178"/>
      <c r="J56" s="143"/>
      <c r="K56" s="143"/>
      <c r="L56" s="148"/>
      <c r="M56" s="148"/>
      <c r="N56" s="148"/>
    </row>
    <row r="57" spans="1:14" s="54" customFormat="1" ht="18" customHeight="1" x14ac:dyDescent="0.25">
      <c r="A57" s="124" t="e">
        <f>A55</f>
        <v>#REF!</v>
      </c>
      <c r="B57" s="62"/>
      <c r="C57" s="56" t="str">
        <f t="shared" ref="C57:C76" si="20">VLOOKUP(E57,$F$12:$G$336,2,0)</f>
        <v>ОГБУЗ "Верхнекетская РБ"</v>
      </c>
      <c r="D57" s="58"/>
      <c r="E57" s="170">
        <v>65</v>
      </c>
      <c r="F57" s="137"/>
      <c r="G57" s="134"/>
      <c r="H57" s="135" t="s">
        <v>479</v>
      </c>
      <c r="I57" s="180">
        <f t="shared" ref="I57:I65" si="21">J57+K57</f>
        <v>215</v>
      </c>
      <c r="J57" s="142">
        <v>215</v>
      </c>
      <c r="K57" s="144"/>
      <c r="L57" s="149">
        <f t="shared" ref="L57:L65" si="22">M57+N57</f>
        <v>12333.7</v>
      </c>
      <c r="M57" s="149">
        <v>12333.7</v>
      </c>
      <c r="N57" s="149"/>
    </row>
    <row r="58" spans="1:14" s="63" customFormat="1" ht="30" x14ac:dyDescent="0.25">
      <c r="A58" s="124" t="e">
        <f t="shared" si="0"/>
        <v>#REF!</v>
      </c>
      <c r="C58" s="56" t="str">
        <f t="shared" si="20"/>
        <v>ОГБУЗ "Верхнекетская РБ"</v>
      </c>
      <c r="D58" s="58"/>
      <c r="E58" s="171">
        <v>65</v>
      </c>
      <c r="F58" s="137"/>
      <c r="G58" s="132"/>
      <c r="H58" s="140" t="s">
        <v>187</v>
      </c>
      <c r="I58" s="180">
        <f t="shared" si="21"/>
        <v>65</v>
      </c>
      <c r="J58" s="142">
        <v>65</v>
      </c>
      <c r="K58" s="144"/>
      <c r="L58" s="149">
        <f t="shared" si="22"/>
        <v>4074.9</v>
      </c>
      <c r="M58" s="149">
        <v>4074.9</v>
      </c>
      <c r="N58" s="149"/>
    </row>
    <row r="59" spans="1:14" s="63" customFormat="1" ht="30" x14ac:dyDescent="0.25">
      <c r="A59" s="124" t="e">
        <f t="shared" si="0"/>
        <v>#REF!</v>
      </c>
      <c r="C59" s="56" t="str">
        <f t="shared" si="20"/>
        <v>ОГБУЗ "Верхнекетская РБ"</v>
      </c>
      <c r="D59" s="58"/>
      <c r="E59" s="171">
        <v>65</v>
      </c>
      <c r="F59" s="137"/>
      <c r="G59" s="132"/>
      <c r="H59" s="140" t="s">
        <v>374</v>
      </c>
      <c r="I59" s="180">
        <f t="shared" si="21"/>
        <v>85</v>
      </c>
      <c r="J59" s="142">
        <v>85</v>
      </c>
      <c r="K59" s="144"/>
      <c r="L59" s="149">
        <f t="shared" si="22"/>
        <v>5428.8</v>
      </c>
      <c r="M59" s="149">
        <v>5428.8</v>
      </c>
      <c r="N59" s="149"/>
    </row>
    <row r="60" spans="1:14" s="63" customFormat="1" ht="15.75" x14ac:dyDescent="0.25">
      <c r="A60" s="124" t="e">
        <f>#REF!</f>
        <v>#REF!</v>
      </c>
      <c r="C60" s="56" t="str">
        <f t="shared" si="20"/>
        <v>ОГБУЗ "Верхнекетская РБ"</v>
      </c>
      <c r="D60" s="58"/>
      <c r="E60" s="171">
        <v>65</v>
      </c>
      <c r="F60" s="137"/>
      <c r="G60" s="132"/>
      <c r="H60" s="133" t="s">
        <v>6</v>
      </c>
      <c r="I60" s="180">
        <f t="shared" si="21"/>
        <v>172</v>
      </c>
      <c r="J60" s="142">
        <v>172</v>
      </c>
      <c r="K60" s="144"/>
      <c r="L60" s="149">
        <f t="shared" si="22"/>
        <v>16043.4</v>
      </c>
      <c r="M60" s="149">
        <v>16043.4</v>
      </c>
      <c r="N60" s="149"/>
    </row>
    <row r="61" spans="1:14" s="63" customFormat="1" ht="15.75" x14ac:dyDescent="0.25">
      <c r="A61" s="124" t="e">
        <f t="shared" si="0"/>
        <v>#REF!</v>
      </c>
      <c r="C61" s="56" t="str">
        <f t="shared" si="20"/>
        <v>ОГБУЗ "Верхнекетская РБ"</v>
      </c>
      <c r="D61" s="58"/>
      <c r="E61" s="171">
        <v>65</v>
      </c>
      <c r="F61" s="137"/>
      <c r="G61" s="132"/>
      <c r="H61" s="133" t="s">
        <v>9</v>
      </c>
      <c r="I61" s="180">
        <f t="shared" si="21"/>
        <v>160</v>
      </c>
      <c r="J61" s="142">
        <v>160</v>
      </c>
      <c r="K61" s="144"/>
      <c r="L61" s="149">
        <f t="shared" si="22"/>
        <v>7807.1</v>
      </c>
      <c r="M61" s="149">
        <v>7807.1</v>
      </c>
      <c r="N61" s="149"/>
    </row>
    <row r="62" spans="1:14" s="63" customFormat="1" ht="15.75" x14ac:dyDescent="0.25">
      <c r="A62" s="124" t="e">
        <f t="shared" si="0"/>
        <v>#REF!</v>
      </c>
      <c r="C62" s="56" t="str">
        <f t="shared" si="20"/>
        <v>ОГБУЗ "Верхнекетская РБ"</v>
      </c>
      <c r="D62" s="58"/>
      <c r="E62" s="171">
        <v>65</v>
      </c>
      <c r="F62" s="137"/>
      <c r="G62" s="132"/>
      <c r="H62" s="133" t="s">
        <v>7</v>
      </c>
      <c r="I62" s="180">
        <f t="shared" si="21"/>
        <v>365</v>
      </c>
      <c r="J62" s="142">
        <v>365</v>
      </c>
      <c r="K62" s="144"/>
      <c r="L62" s="149">
        <f t="shared" si="22"/>
        <v>21913.9</v>
      </c>
      <c r="M62" s="149">
        <v>21913.9</v>
      </c>
      <c r="N62" s="149"/>
    </row>
    <row r="63" spans="1:14" s="63" customFormat="1" ht="15.75" x14ac:dyDescent="0.25">
      <c r="A63" s="124" t="e">
        <f t="shared" si="0"/>
        <v>#REF!</v>
      </c>
      <c r="C63" s="56" t="str">
        <f t="shared" si="20"/>
        <v>ОГБУЗ "Верхнекетская РБ"</v>
      </c>
      <c r="D63" s="58"/>
      <c r="E63" s="171">
        <v>65</v>
      </c>
      <c r="F63" s="137"/>
      <c r="G63" s="132"/>
      <c r="H63" s="133" t="s">
        <v>8</v>
      </c>
      <c r="I63" s="180">
        <f t="shared" si="21"/>
        <v>725</v>
      </c>
      <c r="J63" s="142">
        <v>725</v>
      </c>
      <c r="K63" s="144"/>
      <c r="L63" s="149">
        <f t="shared" si="22"/>
        <v>43731.3</v>
      </c>
      <c r="M63" s="149">
        <v>43731.3</v>
      </c>
      <c r="N63" s="149"/>
    </row>
    <row r="64" spans="1:14" s="63" customFormat="1" ht="15.75" x14ac:dyDescent="0.25">
      <c r="A64" s="124" t="e">
        <f t="shared" si="0"/>
        <v>#REF!</v>
      </c>
      <c r="C64" s="56" t="str">
        <f t="shared" si="20"/>
        <v>ОГБУЗ "Верхнекетская РБ"</v>
      </c>
      <c r="D64" s="58"/>
      <c r="E64" s="171">
        <v>65</v>
      </c>
      <c r="F64" s="137"/>
      <c r="G64" s="132"/>
      <c r="H64" s="133" t="s">
        <v>5</v>
      </c>
      <c r="I64" s="180">
        <f t="shared" si="21"/>
        <v>165</v>
      </c>
      <c r="J64" s="142">
        <v>165</v>
      </c>
      <c r="K64" s="144"/>
      <c r="L64" s="149">
        <f t="shared" si="22"/>
        <v>13674.3</v>
      </c>
      <c r="M64" s="149">
        <v>13674.3</v>
      </c>
      <c r="N64" s="149"/>
    </row>
    <row r="65" spans="1:14" s="63" customFormat="1" ht="15.75" x14ac:dyDescent="0.25">
      <c r="A65" s="124" t="e">
        <f t="shared" si="0"/>
        <v>#REF!</v>
      </c>
      <c r="C65" s="56" t="str">
        <f t="shared" si="20"/>
        <v>ОГБУЗ "Верхнекетская РБ"</v>
      </c>
      <c r="D65" s="58"/>
      <c r="E65" s="171">
        <v>65</v>
      </c>
      <c r="F65" s="137"/>
      <c r="G65" s="132"/>
      <c r="H65" s="133" t="s">
        <v>4</v>
      </c>
      <c r="I65" s="180">
        <f t="shared" si="21"/>
        <v>510</v>
      </c>
      <c r="J65" s="142">
        <v>510</v>
      </c>
      <c r="K65" s="144"/>
      <c r="L65" s="149">
        <f t="shared" si="22"/>
        <v>34069.199999999997</v>
      </c>
      <c r="M65" s="149">
        <v>34069.199999999997</v>
      </c>
      <c r="N65" s="149"/>
    </row>
    <row r="66" spans="1:14" s="54" customFormat="1" ht="15.75" x14ac:dyDescent="0.25">
      <c r="A66" s="124" t="e">
        <f t="shared" si="0"/>
        <v>#REF!</v>
      </c>
      <c r="B66" s="247"/>
      <c r="C66" s="56" t="str">
        <f t="shared" si="20"/>
        <v>ОГБУЗ "Верхнекетская РБ"</v>
      </c>
      <c r="D66" s="58">
        <v>65</v>
      </c>
      <c r="E66" s="171">
        <v>65</v>
      </c>
      <c r="F66" s="137"/>
      <c r="G66" s="182"/>
      <c r="H66" s="154" t="s">
        <v>188</v>
      </c>
      <c r="I66" s="181">
        <f>ROUND(I57+I60+I61+I62+I63+I64+I65,1)</f>
        <v>2312</v>
      </c>
      <c r="J66" s="181">
        <f>ROUND(J57+J60+J61+J62+J63+J64+J65,1)</f>
        <v>2312</v>
      </c>
      <c r="K66" s="155">
        <f t="shared" ref="K66:N66" si="23">ROUND(K57+K60+K61+K62+K63+K64+K65,1)</f>
        <v>0</v>
      </c>
      <c r="L66" s="156">
        <f t="shared" si="23"/>
        <v>149572.9</v>
      </c>
      <c r="M66" s="156">
        <f t="shared" si="23"/>
        <v>149572.9</v>
      </c>
      <c r="N66" s="156">
        <f t="shared" si="23"/>
        <v>0</v>
      </c>
    </row>
    <row r="67" spans="1:14" s="54" customFormat="1" ht="18" customHeight="1" x14ac:dyDescent="0.25">
      <c r="A67" s="124" t="e">
        <f t="shared" ref="A67:A130" si="24">A66</f>
        <v>#REF!</v>
      </c>
      <c r="B67" s="62"/>
      <c r="C67" s="56" t="str">
        <f t="shared" si="20"/>
        <v xml:space="preserve">ОГАУЗ "ГКБ № 3 им. Б.И. Альперовича" </v>
      </c>
      <c r="D67" s="58"/>
      <c r="E67" s="171">
        <v>33</v>
      </c>
      <c r="F67" s="131">
        <v>33</v>
      </c>
      <c r="G67" s="433" t="s">
        <v>196</v>
      </c>
      <c r="H67" s="434"/>
      <c r="I67" s="142"/>
      <c r="J67" s="142"/>
      <c r="K67" s="144"/>
      <c r="L67" s="149"/>
      <c r="M67" s="149"/>
      <c r="N67" s="149"/>
    </row>
    <row r="68" spans="1:14" s="54" customFormat="1" ht="15.75" x14ac:dyDescent="0.25">
      <c r="A68" s="124" t="e">
        <f t="shared" si="24"/>
        <v>#REF!</v>
      </c>
      <c r="C68" s="56" t="str">
        <f t="shared" si="20"/>
        <v xml:space="preserve">ОГАУЗ "ГКБ № 3 им. Б.И. Альперовича" </v>
      </c>
      <c r="D68" s="58"/>
      <c r="E68" s="170">
        <v>33</v>
      </c>
      <c r="F68" s="131"/>
      <c r="G68" s="132"/>
      <c r="H68" s="130" t="s">
        <v>197</v>
      </c>
      <c r="I68" s="142">
        <f t="shared" ref="I68:I75" si="25">J68+K68</f>
        <v>481</v>
      </c>
      <c r="J68" s="142">
        <v>481</v>
      </c>
      <c r="K68" s="144"/>
      <c r="L68" s="149">
        <f t="shared" ref="L68:L75" si="26">M68+N68</f>
        <v>31235.599999999999</v>
      </c>
      <c r="M68" s="149">
        <v>31235.599999999999</v>
      </c>
      <c r="N68" s="149"/>
    </row>
    <row r="69" spans="1:14" s="54" customFormat="1" ht="15.75" x14ac:dyDescent="0.25">
      <c r="A69" s="124" t="e">
        <f t="shared" si="24"/>
        <v>#REF!</v>
      </c>
      <c r="C69" s="56" t="str">
        <f t="shared" si="20"/>
        <v xml:space="preserve">ОГАУЗ "ГКБ № 3 им. Б.И. Альперовича" </v>
      </c>
      <c r="D69" s="58"/>
      <c r="E69" s="170">
        <v>33</v>
      </c>
      <c r="F69" s="131"/>
      <c r="G69" s="132"/>
      <c r="H69" s="130" t="s">
        <v>6</v>
      </c>
      <c r="I69" s="142">
        <f t="shared" si="25"/>
        <v>1969</v>
      </c>
      <c r="J69" s="142">
        <v>1969</v>
      </c>
      <c r="K69" s="144"/>
      <c r="L69" s="149">
        <f t="shared" si="26"/>
        <v>97800.8</v>
      </c>
      <c r="M69" s="149">
        <v>97800.8</v>
      </c>
      <c r="N69" s="149"/>
    </row>
    <row r="70" spans="1:14" s="54" customFormat="1" ht="15.75" x14ac:dyDescent="0.25">
      <c r="A70" s="124" t="e">
        <f t="shared" si="24"/>
        <v>#REF!</v>
      </c>
      <c r="C70" s="56" t="str">
        <f t="shared" si="20"/>
        <v xml:space="preserve">ОГАУЗ "ГКБ № 3 им. Б.И. Альперовича" </v>
      </c>
      <c r="D70" s="58"/>
      <c r="E70" s="170">
        <v>33</v>
      </c>
      <c r="F70" s="131"/>
      <c r="G70" s="132"/>
      <c r="H70" s="130" t="s">
        <v>9</v>
      </c>
      <c r="I70" s="142">
        <f t="shared" si="25"/>
        <v>719</v>
      </c>
      <c r="J70" s="142">
        <v>719</v>
      </c>
      <c r="K70" s="144"/>
      <c r="L70" s="149">
        <f t="shared" si="26"/>
        <v>34055.4</v>
      </c>
      <c r="M70" s="149">
        <v>34055.4</v>
      </c>
      <c r="N70" s="149"/>
    </row>
    <row r="71" spans="1:14" s="54" customFormat="1" ht="44.25" customHeight="1" x14ac:dyDescent="0.25">
      <c r="A71" s="124" t="e">
        <f t="shared" si="24"/>
        <v>#REF!</v>
      </c>
      <c r="C71" s="56" t="str">
        <f t="shared" si="20"/>
        <v xml:space="preserve">ОГАУЗ "ГКБ № 3 им. Б.И. Альперовича" </v>
      </c>
      <c r="D71" s="58"/>
      <c r="E71" s="170">
        <v>33</v>
      </c>
      <c r="F71" s="131"/>
      <c r="G71" s="132"/>
      <c r="H71" s="130" t="s">
        <v>10</v>
      </c>
      <c r="I71" s="142">
        <f t="shared" si="25"/>
        <v>1943</v>
      </c>
      <c r="J71" s="142">
        <v>1848</v>
      </c>
      <c r="K71" s="144">
        <f>65+30</f>
        <v>95</v>
      </c>
      <c r="L71" s="149">
        <f t="shared" si="26"/>
        <v>130953.7</v>
      </c>
      <c r="M71" s="149">
        <v>112058.2</v>
      </c>
      <c r="N71" s="149">
        <f>12928.5+5967</f>
        <v>18895.5</v>
      </c>
    </row>
    <row r="72" spans="1:14" s="54" customFormat="1" ht="15.75" x14ac:dyDescent="0.25">
      <c r="A72" s="124" t="e">
        <f t="shared" si="24"/>
        <v>#REF!</v>
      </c>
      <c r="C72" s="56" t="str">
        <f t="shared" si="20"/>
        <v xml:space="preserve">ОГАУЗ "ГКБ № 3 им. Б.И. Альперовича" </v>
      </c>
      <c r="D72" s="58"/>
      <c r="E72" s="170">
        <v>33</v>
      </c>
      <c r="F72" s="131"/>
      <c r="G72" s="132"/>
      <c r="H72" s="130" t="s">
        <v>12</v>
      </c>
      <c r="I72" s="142">
        <f t="shared" si="25"/>
        <v>1257</v>
      </c>
      <c r="J72" s="142">
        <v>1257</v>
      </c>
      <c r="K72" s="144"/>
      <c r="L72" s="149">
        <f t="shared" si="26"/>
        <v>90302.7</v>
      </c>
      <c r="M72" s="149">
        <v>90302.7</v>
      </c>
      <c r="N72" s="149"/>
    </row>
    <row r="73" spans="1:14" s="54" customFormat="1" ht="15.75" x14ac:dyDescent="0.25">
      <c r="A73" s="124" t="e">
        <f t="shared" si="24"/>
        <v>#REF!</v>
      </c>
      <c r="C73" s="56" t="str">
        <f t="shared" si="20"/>
        <v xml:space="preserve">ОГАУЗ "ГКБ № 3 им. Б.И. Альперовича" </v>
      </c>
      <c r="D73" s="58"/>
      <c r="E73" s="170">
        <v>33</v>
      </c>
      <c r="F73" s="131"/>
      <c r="G73" s="132"/>
      <c r="H73" s="130" t="s">
        <v>8</v>
      </c>
      <c r="I73" s="142">
        <f t="shared" si="25"/>
        <v>1520</v>
      </c>
      <c r="J73" s="142">
        <v>1520</v>
      </c>
      <c r="K73" s="144"/>
      <c r="L73" s="149">
        <f t="shared" si="26"/>
        <v>74224.399999999994</v>
      </c>
      <c r="M73" s="149">
        <v>74224.399999999994</v>
      </c>
      <c r="N73" s="149"/>
    </row>
    <row r="74" spans="1:14" s="54" customFormat="1" ht="15.75" x14ac:dyDescent="0.25">
      <c r="A74" s="124" t="e">
        <f t="shared" si="24"/>
        <v>#REF!</v>
      </c>
      <c r="C74" s="56" t="str">
        <f t="shared" si="20"/>
        <v xml:space="preserve">ОГАУЗ "ГКБ № 3 им. Б.И. Альперовича" </v>
      </c>
      <c r="D74" s="58"/>
      <c r="E74" s="170">
        <v>33</v>
      </c>
      <c r="F74" s="131"/>
      <c r="G74" s="132"/>
      <c r="H74" s="130" t="s">
        <v>13</v>
      </c>
      <c r="I74" s="142">
        <f t="shared" si="25"/>
        <v>957</v>
      </c>
      <c r="J74" s="142">
        <v>923</v>
      </c>
      <c r="K74" s="144">
        <v>34</v>
      </c>
      <c r="L74" s="149">
        <f t="shared" si="26"/>
        <v>68145.7</v>
      </c>
      <c r="M74" s="149">
        <v>62808.9</v>
      </c>
      <c r="N74" s="149">
        <f>4999.7+337.1</f>
        <v>5336.8</v>
      </c>
    </row>
    <row r="75" spans="1:14" s="54" customFormat="1" ht="15.75" x14ac:dyDescent="0.25">
      <c r="A75" s="124" t="e">
        <f t="shared" si="24"/>
        <v>#REF!</v>
      </c>
      <c r="C75" s="56" t="str">
        <f t="shared" si="20"/>
        <v xml:space="preserve">ОГАУЗ "ГКБ № 3 им. Б.И. Альперовича" </v>
      </c>
      <c r="D75" s="58"/>
      <c r="E75" s="170">
        <v>33</v>
      </c>
      <c r="F75" s="131"/>
      <c r="G75" s="132"/>
      <c r="H75" s="130" t="s">
        <v>4</v>
      </c>
      <c r="I75" s="142">
        <f t="shared" si="25"/>
        <v>2660</v>
      </c>
      <c r="J75" s="142">
        <v>2620</v>
      </c>
      <c r="K75" s="144">
        <v>40</v>
      </c>
      <c r="L75" s="149">
        <f t="shared" si="26"/>
        <v>235167.30000000002</v>
      </c>
      <c r="M75" s="149">
        <v>225262.1</v>
      </c>
      <c r="N75" s="149">
        <f>9276.7+628.5</f>
        <v>9905.2000000000007</v>
      </c>
    </row>
    <row r="76" spans="1:14" s="54" customFormat="1" ht="15.75" x14ac:dyDescent="0.25">
      <c r="A76" s="124" t="e">
        <f t="shared" si="24"/>
        <v>#REF!</v>
      </c>
      <c r="B76" s="247"/>
      <c r="C76" s="56" t="str">
        <f t="shared" si="20"/>
        <v xml:space="preserve">ОГАУЗ "ГКБ № 3 им. Б.И. Альперовича" </v>
      </c>
      <c r="D76" s="58">
        <v>33</v>
      </c>
      <c r="E76" s="170">
        <v>33</v>
      </c>
      <c r="F76" s="131"/>
      <c r="G76" s="153"/>
      <c r="H76" s="154" t="s">
        <v>188</v>
      </c>
      <c r="I76" s="155">
        <f>ROUND(I67+I68+I69+I70+I71+I72+I73+I74+I75,0)</f>
        <v>11506</v>
      </c>
      <c r="J76" s="155">
        <f>ROUND(J67+J68+J69+J70+J71+J72+J73+J74+J75,0)</f>
        <v>11337</v>
      </c>
      <c r="K76" s="155">
        <f>ROUND(K67+K68+K69+K70+K71+K72+K73+K74+K75,0)</f>
        <v>169</v>
      </c>
      <c r="L76" s="156">
        <f t="shared" ref="L76:N76" si="27">ROUND(L67+L68+L69+L70+L71+L72+L73+L74+L75,1)</f>
        <v>761885.6</v>
      </c>
      <c r="M76" s="156">
        <f t="shared" si="27"/>
        <v>727748.1</v>
      </c>
      <c r="N76" s="156">
        <f t="shared" si="27"/>
        <v>34137.5</v>
      </c>
    </row>
    <row r="77" spans="1:14" s="54" customFormat="1" ht="21" customHeight="1" x14ac:dyDescent="0.25">
      <c r="A77" s="124"/>
      <c r="B77" s="62"/>
      <c r="C77" s="56"/>
      <c r="D77" s="58"/>
      <c r="E77" s="170"/>
      <c r="F77" s="137">
        <v>135</v>
      </c>
      <c r="G77" s="433" t="s">
        <v>112</v>
      </c>
      <c r="H77" s="434"/>
      <c r="I77" s="143"/>
      <c r="J77" s="143"/>
      <c r="K77" s="143"/>
      <c r="L77" s="148"/>
      <c r="M77" s="148"/>
      <c r="N77" s="148"/>
    </row>
    <row r="78" spans="1:14" s="54" customFormat="1" ht="15.75" x14ac:dyDescent="0.25">
      <c r="A78" s="124" t="e">
        <f>A76</f>
        <v>#REF!</v>
      </c>
      <c r="B78" s="62"/>
      <c r="C78" s="56" t="str">
        <f>VLOOKUP(E78,$F$12:$G$336,2,0)</f>
        <v xml:space="preserve">ОГАУЗ "Детская городская больница № 2" </v>
      </c>
      <c r="D78" s="58"/>
      <c r="E78" s="170">
        <v>135</v>
      </c>
      <c r="F78" s="137"/>
      <c r="G78" s="152"/>
      <c r="H78" s="230" t="s">
        <v>7</v>
      </c>
      <c r="I78" s="142">
        <f>J78+K78</f>
        <v>2470</v>
      </c>
      <c r="J78" s="142">
        <f>2700-200-30</f>
        <v>2470</v>
      </c>
      <c r="K78" s="144"/>
      <c r="L78" s="149">
        <f>M78+N78</f>
        <v>73409.5</v>
      </c>
      <c r="M78" s="149">
        <f>123308.3-6530.5-38469.5-4898.8</f>
        <v>73409.5</v>
      </c>
      <c r="N78" s="149"/>
    </row>
    <row r="79" spans="1:14" s="54" customFormat="1" ht="15.75" x14ac:dyDescent="0.25">
      <c r="A79" s="124" t="e">
        <f t="shared" si="24"/>
        <v>#REF!</v>
      </c>
      <c r="C79" s="56" t="str">
        <f>VLOOKUP(E79,$F$12:$G$336,2,0)</f>
        <v xml:space="preserve">ОГАУЗ "Детская городская больница № 2" </v>
      </c>
      <c r="D79" s="58">
        <v>135</v>
      </c>
      <c r="E79" s="170">
        <v>135</v>
      </c>
      <c r="F79" s="137"/>
      <c r="G79" s="231"/>
      <c r="H79" s="232" t="s">
        <v>188</v>
      </c>
      <c r="I79" s="155">
        <f>ROUND(I78,0)</f>
        <v>2470</v>
      </c>
      <c r="J79" s="155">
        <f>ROUND(J78,0)</f>
        <v>2470</v>
      </c>
      <c r="K79" s="155">
        <f>ROUND(K78,0)</f>
        <v>0</v>
      </c>
      <c r="L79" s="156">
        <f t="shared" ref="L79:N79" si="28">ROUND(L78,1)</f>
        <v>73409.5</v>
      </c>
      <c r="M79" s="156">
        <f t="shared" si="28"/>
        <v>73409.5</v>
      </c>
      <c r="N79" s="156">
        <f t="shared" si="28"/>
        <v>0</v>
      </c>
    </row>
    <row r="80" spans="1:14" s="54" customFormat="1" ht="28.5" customHeight="1" x14ac:dyDescent="0.25">
      <c r="A80" s="124"/>
      <c r="C80" s="56"/>
      <c r="D80" s="58"/>
      <c r="E80" s="170"/>
      <c r="F80" s="137">
        <v>133</v>
      </c>
      <c r="G80" s="433" t="s">
        <v>198</v>
      </c>
      <c r="H80" s="434"/>
      <c r="I80" s="143"/>
      <c r="J80" s="143"/>
      <c r="K80" s="143"/>
      <c r="L80" s="148"/>
      <c r="M80" s="148"/>
      <c r="N80" s="148"/>
    </row>
    <row r="81" spans="1:14" s="54" customFormat="1" ht="15.75" x14ac:dyDescent="0.25">
      <c r="A81" s="124" t="e">
        <f>A79</f>
        <v>#REF!</v>
      </c>
      <c r="B81" s="247"/>
      <c r="C81" s="56" t="str">
        <f t="shared" ref="C81:C89" si="29">VLOOKUP(E81,$F$12:$G$336,2,0)</f>
        <v xml:space="preserve">ОГАУЗ "Детская  больница № 1" </v>
      </c>
      <c r="D81" s="58"/>
      <c r="E81" s="170">
        <v>133</v>
      </c>
      <c r="F81" s="137"/>
      <c r="G81" s="134"/>
      <c r="H81" s="122" t="s">
        <v>197</v>
      </c>
      <c r="I81" s="142">
        <f t="shared" ref="I81:I88" si="30">J81+K81</f>
        <v>560</v>
      </c>
      <c r="J81" s="142">
        <v>560</v>
      </c>
      <c r="K81" s="144"/>
      <c r="L81" s="149">
        <f t="shared" ref="L81:L88" si="31">M81+N81</f>
        <v>22966.799999999999</v>
      </c>
      <c r="M81" s="149">
        <v>22966.799999999999</v>
      </c>
      <c r="N81" s="149"/>
    </row>
    <row r="82" spans="1:14" s="54" customFormat="1" ht="15.75" x14ac:dyDescent="0.25">
      <c r="A82" s="124" t="e">
        <f t="shared" si="24"/>
        <v>#REF!</v>
      </c>
      <c r="B82" s="62"/>
      <c r="C82" s="56" t="str">
        <f t="shared" si="29"/>
        <v xml:space="preserve">ОГАУЗ "Детская  больница № 1" </v>
      </c>
      <c r="D82" s="58"/>
      <c r="E82" s="170">
        <v>133</v>
      </c>
      <c r="F82" s="137"/>
      <c r="G82" s="132"/>
      <c r="H82" s="133" t="s">
        <v>199</v>
      </c>
      <c r="I82" s="142">
        <f t="shared" si="30"/>
        <v>100</v>
      </c>
      <c r="J82" s="142">
        <v>100</v>
      </c>
      <c r="K82" s="144"/>
      <c r="L82" s="149">
        <f t="shared" si="31"/>
        <v>4853</v>
      </c>
      <c r="M82" s="149">
        <v>4853</v>
      </c>
      <c r="N82" s="149"/>
    </row>
    <row r="83" spans="1:14" s="54" customFormat="1" ht="15.75" x14ac:dyDescent="0.25">
      <c r="A83" s="124" t="e">
        <f t="shared" si="24"/>
        <v>#REF!</v>
      </c>
      <c r="C83" s="56" t="str">
        <f t="shared" si="29"/>
        <v xml:space="preserve">ОГАУЗ "Детская  больница № 1" </v>
      </c>
      <c r="D83" s="58"/>
      <c r="E83" s="170">
        <v>133</v>
      </c>
      <c r="F83" s="137"/>
      <c r="G83" s="132"/>
      <c r="H83" s="133" t="s">
        <v>200</v>
      </c>
      <c r="I83" s="142">
        <f t="shared" si="30"/>
        <v>570</v>
      </c>
      <c r="J83" s="142">
        <v>550</v>
      </c>
      <c r="K83" s="144">
        <v>20</v>
      </c>
      <c r="L83" s="149">
        <f t="shared" si="31"/>
        <v>62543.7</v>
      </c>
      <c r="M83" s="149">
        <v>57426.2</v>
      </c>
      <c r="N83" s="149">
        <v>5117.5</v>
      </c>
    </row>
    <row r="84" spans="1:14" s="54" customFormat="1" ht="15.75" x14ac:dyDescent="0.25">
      <c r="A84" s="124" t="e">
        <f t="shared" si="24"/>
        <v>#REF!</v>
      </c>
      <c r="C84" s="56" t="str">
        <f t="shared" si="29"/>
        <v xml:space="preserve">ОГАУЗ "Детская  больница № 1" </v>
      </c>
      <c r="D84" s="58"/>
      <c r="E84" s="170">
        <v>133</v>
      </c>
      <c r="F84" s="137"/>
      <c r="G84" s="132"/>
      <c r="H84" s="133" t="s">
        <v>201</v>
      </c>
      <c r="I84" s="142">
        <f t="shared" si="30"/>
        <v>550</v>
      </c>
      <c r="J84" s="142">
        <v>550</v>
      </c>
      <c r="K84" s="144"/>
      <c r="L84" s="149">
        <f t="shared" si="31"/>
        <v>61547.199999999997</v>
      </c>
      <c r="M84" s="149">
        <f>73825.4-12278.2</f>
        <v>61547.199999999997</v>
      </c>
      <c r="N84" s="149"/>
    </row>
    <row r="85" spans="1:14" s="54" customFormat="1" ht="15.75" x14ac:dyDescent="0.25">
      <c r="A85" s="124" t="e">
        <f t="shared" si="24"/>
        <v>#REF!</v>
      </c>
      <c r="C85" s="56" t="str">
        <f t="shared" si="29"/>
        <v xml:space="preserve">ОГАУЗ "Детская  больница № 1" </v>
      </c>
      <c r="D85" s="58"/>
      <c r="E85" s="170">
        <v>133</v>
      </c>
      <c r="F85" s="137"/>
      <c r="G85" s="132"/>
      <c r="H85" s="133" t="s">
        <v>9</v>
      </c>
      <c r="I85" s="142">
        <f t="shared" si="30"/>
        <v>565</v>
      </c>
      <c r="J85" s="142">
        <v>565</v>
      </c>
      <c r="K85" s="144"/>
      <c r="L85" s="149">
        <f t="shared" si="31"/>
        <v>31121.1</v>
      </c>
      <c r="M85" s="149">
        <v>31121.1</v>
      </c>
      <c r="N85" s="149"/>
    </row>
    <row r="86" spans="1:14" s="54" customFormat="1" ht="15.75" x14ac:dyDescent="0.25">
      <c r="A86" s="124" t="e">
        <f t="shared" si="24"/>
        <v>#REF!</v>
      </c>
      <c r="C86" s="56" t="str">
        <f t="shared" si="29"/>
        <v xml:space="preserve">ОГАУЗ "Детская  больница № 1" </v>
      </c>
      <c r="D86" s="58"/>
      <c r="E86" s="170">
        <v>133</v>
      </c>
      <c r="F86" s="137"/>
      <c r="G86" s="132"/>
      <c r="H86" s="133" t="s">
        <v>189</v>
      </c>
      <c r="I86" s="142">
        <f t="shared" si="30"/>
        <v>550</v>
      </c>
      <c r="J86" s="142">
        <v>550</v>
      </c>
      <c r="K86" s="144"/>
      <c r="L86" s="149">
        <f t="shared" si="31"/>
        <v>57563.8</v>
      </c>
      <c r="M86" s="149">
        <v>57563.8</v>
      </c>
      <c r="N86" s="149"/>
    </row>
    <row r="87" spans="1:14" s="54" customFormat="1" ht="15.75" x14ac:dyDescent="0.25">
      <c r="A87" s="124" t="e">
        <f t="shared" si="24"/>
        <v>#REF!</v>
      </c>
      <c r="C87" s="56" t="str">
        <f t="shared" si="29"/>
        <v xml:space="preserve">ОГАУЗ "Детская  больница № 1" </v>
      </c>
      <c r="D87" s="58"/>
      <c r="E87" s="170">
        <v>133</v>
      </c>
      <c r="F87" s="137"/>
      <c r="G87" s="132"/>
      <c r="H87" s="133" t="s">
        <v>202</v>
      </c>
      <c r="I87" s="142">
        <f t="shared" si="30"/>
        <v>550</v>
      </c>
      <c r="J87" s="142">
        <v>550</v>
      </c>
      <c r="K87" s="144"/>
      <c r="L87" s="149">
        <f t="shared" si="31"/>
        <v>31732.2</v>
      </c>
      <c r="M87" s="149">
        <v>31732.2</v>
      </c>
      <c r="N87" s="149"/>
    </row>
    <row r="88" spans="1:14" s="54" customFormat="1" ht="15.75" x14ac:dyDescent="0.25">
      <c r="A88" s="124" t="e">
        <f t="shared" si="24"/>
        <v>#REF!</v>
      </c>
      <c r="C88" s="56" t="str">
        <f t="shared" si="29"/>
        <v xml:space="preserve">ОГАУЗ "Детская  больница № 1" </v>
      </c>
      <c r="D88" s="58"/>
      <c r="E88" s="170">
        <v>133</v>
      </c>
      <c r="F88" s="137"/>
      <c r="G88" s="132"/>
      <c r="H88" s="133" t="s">
        <v>7</v>
      </c>
      <c r="I88" s="142">
        <f t="shared" si="30"/>
        <v>2035</v>
      </c>
      <c r="J88" s="142">
        <v>1850</v>
      </c>
      <c r="K88" s="144">
        <v>185</v>
      </c>
      <c r="L88" s="149">
        <f t="shared" si="31"/>
        <v>173142.90000000002</v>
      </c>
      <c r="M88" s="149">
        <f>132884+12278.2</f>
        <v>145162.20000000001</v>
      </c>
      <c r="N88" s="149">
        <v>27980.7</v>
      </c>
    </row>
    <row r="89" spans="1:14" s="54" customFormat="1" ht="15.75" x14ac:dyDescent="0.25">
      <c r="A89" s="124" t="e">
        <f t="shared" si="24"/>
        <v>#REF!</v>
      </c>
      <c r="C89" s="56" t="str">
        <f t="shared" si="29"/>
        <v xml:space="preserve">ОГАУЗ "Детская  больница № 1" </v>
      </c>
      <c r="D89" s="58">
        <v>133</v>
      </c>
      <c r="E89" s="170">
        <v>133</v>
      </c>
      <c r="F89" s="137"/>
      <c r="G89" s="157"/>
      <c r="H89" s="159" t="s">
        <v>188</v>
      </c>
      <c r="I89" s="155">
        <f>ROUND(I81+I82+I83+I84+I85+I86+I87+I88,0)</f>
        <v>5480</v>
      </c>
      <c r="J89" s="155">
        <f>ROUND(J81+J82+J83+J84+J85+J86+J87+J88,0)</f>
        <v>5275</v>
      </c>
      <c r="K89" s="155">
        <f>ROUND(K81+K82+K83+K84+K85+K86+K87+K88,0)</f>
        <v>205</v>
      </c>
      <c r="L89" s="156">
        <f t="shared" ref="L89:N89" si="32">ROUND(L81+L82+L83+L84+L85+L86+L87+L88,1)</f>
        <v>445470.7</v>
      </c>
      <c r="M89" s="156">
        <f t="shared" si="32"/>
        <v>412372.5</v>
      </c>
      <c r="N89" s="156">
        <f t="shared" si="32"/>
        <v>33098.199999999997</v>
      </c>
    </row>
    <row r="90" spans="1:14" s="54" customFormat="1" ht="28.5" hidden="1" customHeight="1" x14ac:dyDescent="0.25">
      <c r="A90" s="124"/>
      <c r="C90" s="56"/>
      <c r="D90" s="58"/>
      <c r="E90" s="170"/>
      <c r="F90" s="137"/>
      <c r="G90" s="441"/>
      <c r="H90" s="441"/>
      <c r="I90" s="417"/>
      <c r="J90" s="417"/>
      <c r="K90" s="417"/>
      <c r="L90" s="418"/>
      <c r="M90" s="418"/>
      <c r="N90" s="418"/>
    </row>
    <row r="91" spans="1:14" s="54" customFormat="1" ht="15.75" hidden="1" x14ac:dyDescent="0.25">
      <c r="A91" s="124"/>
      <c r="C91" s="56"/>
      <c r="D91" s="58"/>
      <c r="E91" s="170"/>
      <c r="F91" s="137"/>
      <c r="G91" s="419"/>
      <c r="H91" s="420"/>
      <c r="I91" s="421"/>
      <c r="J91" s="421"/>
      <c r="K91" s="422"/>
      <c r="L91" s="423"/>
      <c r="M91" s="423"/>
      <c r="N91" s="423"/>
    </row>
    <row r="92" spans="1:14" s="54" customFormat="1" ht="15.75" hidden="1" x14ac:dyDescent="0.25">
      <c r="A92" s="124"/>
      <c r="C92" s="56"/>
      <c r="D92" s="58"/>
      <c r="E92" s="170"/>
      <c r="F92" s="137"/>
      <c r="G92" s="419"/>
      <c r="H92" s="420"/>
      <c r="I92" s="421"/>
      <c r="J92" s="421"/>
      <c r="K92" s="422"/>
      <c r="L92" s="423"/>
      <c r="M92" s="423"/>
      <c r="N92" s="423"/>
    </row>
    <row r="93" spans="1:14" s="54" customFormat="1" ht="15.75" hidden="1" x14ac:dyDescent="0.25">
      <c r="A93" s="124"/>
      <c r="B93" s="247"/>
      <c r="C93" s="56"/>
      <c r="D93" s="58"/>
      <c r="E93" s="170"/>
      <c r="F93" s="137"/>
      <c r="G93" s="424"/>
      <c r="H93" s="425"/>
      <c r="I93" s="426"/>
      <c r="J93" s="426"/>
      <c r="K93" s="426"/>
      <c r="L93" s="427"/>
      <c r="M93" s="427"/>
      <c r="N93" s="427"/>
    </row>
    <row r="94" spans="1:14" s="54" customFormat="1" ht="22.5" customHeight="1" x14ac:dyDescent="0.25">
      <c r="A94" s="124">
        <f t="shared" si="24"/>
        <v>0</v>
      </c>
      <c r="B94" s="62"/>
      <c r="C94" s="56" t="str">
        <f t="shared" ref="C94:C101" si="33">VLOOKUP(E94,$F$12:$G$336,2,0)</f>
        <v xml:space="preserve">ОГБУЗ "Зырянская РБ" </v>
      </c>
      <c r="D94" s="58"/>
      <c r="E94" s="170">
        <v>67</v>
      </c>
      <c r="F94" s="131">
        <v>67</v>
      </c>
      <c r="G94" s="433" t="s">
        <v>203</v>
      </c>
      <c r="H94" s="434"/>
      <c r="I94" s="142"/>
      <c r="J94" s="142"/>
      <c r="K94" s="144"/>
      <c r="L94" s="149"/>
      <c r="M94" s="149"/>
      <c r="N94" s="149"/>
    </row>
    <row r="95" spans="1:14" s="54" customFormat="1" ht="30" customHeight="1" x14ac:dyDescent="0.25">
      <c r="A95" s="124">
        <f t="shared" si="24"/>
        <v>0</v>
      </c>
      <c r="C95" s="56" t="str">
        <f t="shared" si="33"/>
        <v xml:space="preserve">ОГБУЗ "Зырянская РБ" </v>
      </c>
      <c r="D95" s="58"/>
      <c r="E95" s="170">
        <v>67</v>
      </c>
      <c r="F95" s="131"/>
      <c r="G95" s="132"/>
      <c r="H95" s="135" t="s">
        <v>479</v>
      </c>
      <c r="I95" s="142">
        <f t="shared" ref="I95:I100" si="34">J95+K95</f>
        <v>200</v>
      </c>
      <c r="J95" s="142">
        <v>200</v>
      </c>
      <c r="K95" s="144"/>
      <c r="L95" s="149">
        <f t="shared" ref="L95:L100" si="35">M95+N95</f>
        <v>5495.9</v>
      </c>
      <c r="M95" s="149">
        <v>5495.9</v>
      </c>
      <c r="N95" s="149"/>
    </row>
    <row r="96" spans="1:14" s="54" customFormat="1" ht="30" x14ac:dyDescent="0.25">
      <c r="A96" s="124" t="e">
        <f>#REF!</f>
        <v>#REF!</v>
      </c>
      <c r="B96" s="247"/>
      <c r="C96" s="56" t="str">
        <f t="shared" si="33"/>
        <v xml:space="preserve">ОГБУЗ "Зырянская РБ" </v>
      </c>
      <c r="D96" s="58"/>
      <c r="E96" s="170">
        <v>67</v>
      </c>
      <c r="F96" s="131"/>
      <c r="G96" s="132"/>
      <c r="H96" s="140" t="s">
        <v>374</v>
      </c>
      <c r="I96" s="142">
        <f t="shared" si="34"/>
        <v>100</v>
      </c>
      <c r="J96" s="142">
        <v>100</v>
      </c>
      <c r="K96" s="144"/>
      <c r="L96" s="149">
        <f t="shared" si="35"/>
        <v>3574.4</v>
      </c>
      <c r="M96" s="149">
        <v>3574.4</v>
      </c>
      <c r="N96" s="149"/>
    </row>
    <row r="97" spans="1:14" s="54" customFormat="1" ht="21.75" customHeight="1" x14ac:dyDescent="0.25">
      <c r="A97" s="124" t="e">
        <f t="shared" si="24"/>
        <v>#REF!</v>
      </c>
      <c r="B97" s="62"/>
      <c r="C97" s="56" t="str">
        <f t="shared" si="33"/>
        <v xml:space="preserve">ОГБУЗ "Зырянская РБ" </v>
      </c>
      <c r="D97" s="58"/>
      <c r="E97" s="170">
        <v>67</v>
      </c>
      <c r="F97" s="131"/>
      <c r="G97" s="132"/>
      <c r="H97" s="133" t="s">
        <v>6</v>
      </c>
      <c r="I97" s="142">
        <f t="shared" si="34"/>
        <v>209</v>
      </c>
      <c r="J97" s="142">
        <v>209</v>
      </c>
      <c r="K97" s="144"/>
      <c r="L97" s="149">
        <f t="shared" si="35"/>
        <v>11209.5</v>
      </c>
      <c r="M97" s="149">
        <v>11209.5</v>
      </c>
      <c r="N97" s="149"/>
    </row>
    <row r="98" spans="1:14" s="54" customFormat="1" ht="15.75" x14ac:dyDescent="0.25">
      <c r="A98" s="124" t="e">
        <f t="shared" si="24"/>
        <v>#REF!</v>
      </c>
      <c r="C98" s="56" t="str">
        <f t="shared" si="33"/>
        <v xml:space="preserve">ОГБУЗ "Зырянская РБ" </v>
      </c>
      <c r="D98" s="58"/>
      <c r="E98" s="170">
        <v>67</v>
      </c>
      <c r="F98" s="131"/>
      <c r="G98" s="132"/>
      <c r="H98" s="133" t="s">
        <v>7</v>
      </c>
      <c r="I98" s="142">
        <f t="shared" si="34"/>
        <v>199</v>
      </c>
      <c r="J98" s="142">
        <v>199</v>
      </c>
      <c r="K98" s="144"/>
      <c r="L98" s="149">
        <f t="shared" si="35"/>
        <v>9295.1</v>
      </c>
      <c r="M98" s="149">
        <v>9295.1</v>
      </c>
      <c r="N98" s="149"/>
    </row>
    <row r="99" spans="1:14" s="54" customFormat="1" ht="15.75" x14ac:dyDescent="0.25">
      <c r="A99" s="124" t="e">
        <f t="shared" si="24"/>
        <v>#REF!</v>
      </c>
      <c r="C99" s="56" t="str">
        <f t="shared" si="33"/>
        <v xml:space="preserve">ОГБУЗ "Зырянская РБ" </v>
      </c>
      <c r="D99" s="58"/>
      <c r="E99" s="170">
        <v>67</v>
      </c>
      <c r="F99" s="131"/>
      <c r="G99" s="132"/>
      <c r="H99" s="133" t="s">
        <v>8</v>
      </c>
      <c r="I99" s="142">
        <f t="shared" si="34"/>
        <v>697</v>
      </c>
      <c r="J99" s="142">
        <v>697</v>
      </c>
      <c r="K99" s="144"/>
      <c r="L99" s="149">
        <f t="shared" si="35"/>
        <v>27854.2</v>
      </c>
      <c r="M99" s="149">
        <v>27854.2</v>
      </c>
      <c r="N99" s="149"/>
    </row>
    <row r="100" spans="1:14" s="54" customFormat="1" ht="15.75" x14ac:dyDescent="0.25">
      <c r="A100" s="124" t="e">
        <f t="shared" si="24"/>
        <v>#REF!</v>
      </c>
      <c r="C100" s="56" t="str">
        <f t="shared" si="33"/>
        <v xml:space="preserve">ОГБУЗ "Зырянская РБ" </v>
      </c>
      <c r="D100" s="58"/>
      <c r="E100" s="170">
        <v>67</v>
      </c>
      <c r="F100" s="131"/>
      <c r="G100" s="134"/>
      <c r="H100" s="133" t="s">
        <v>4</v>
      </c>
      <c r="I100" s="142">
        <f t="shared" si="34"/>
        <v>380</v>
      </c>
      <c r="J100" s="142">
        <v>380</v>
      </c>
      <c r="K100" s="142"/>
      <c r="L100" s="149">
        <f t="shared" si="35"/>
        <v>13810.7</v>
      </c>
      <c r="M100" s="149">
        <v>13810.7</v>
      </c>
      <c r="N100" s="149"/>
    </row>
    <row r="101" spans="1:14" s="54" customFormat="1" ht="15.75" x14ac:dyDescent="0.25">
      <c r="A101" s="124" t="e">
        <f t="shared" si="24"/>
        <v>#REF!</v>
      </c>
      <c r="C101" s="56" t="str">
        <f t="shared" si="33"/>
        <v xml:space="preserve">ОГБУЗ "Зырянская РБ" </v>
      </c>
      <c r="D101" s="58">
        <v>67</v>
      </c>
      <c r="E101" s="170">
        <v>67</v>
      </c>
      <c r="F101" s="131"/>
      <c r="G101" s="153"/>
      <c r="H101" s="179" t="s">
        <v>188</v>
      </c>
      <c r="I101" s="155">
        <f>ROUND(I94+I95+I97+I98+I99+I100,0)</f>
        <v>1685</v>
      </c>
      <c r="J101" s="155">
        <f>ROUND(J94+J95+J97+J98+J99+J100,0)</f>
        <v>1685</v>
      </c>
      <c r="K101" s="155">
        <f>ROUND(K94+K95+K97+K98+K99+K100,0)</f>
        <v>0</v>
      </c>
      <c r="L101" s="156">
        <f>ROUND(L94+L95+L97+L98+L99+L100,1)</f>
        <v>67665.399999999994</v>
      </c>
      <c r="M101" s="156">
        <f>ROUND(M94+M95+M97+M98+M99+M100,1)</f>
        <v>67665.399999999994</v>
      </c>
      <c r="N101" s="156">
        <f>ROUND(N94+N95+N97+N98+N99+N100,1)</f>
        <v>0</v>
      </c>
    </row>
    <row r="102" spans="1:14" s="54" customFormat="1" ht="28.5" customHeight="1" x14ac:dyDescent="0.25">
      <c r="A102" s="124"/>
      <c r="C102" s="56"/>
      <c r="D102" s="58"/>
      <c r="E102" s="170"/>
      <c r="F102" s="137">
        <v>69</v>
      </c>
      <c r="G102" s="433" t="s">
        <v>96</v>
      </c>
      <c r="H102" s="434"/>
      <c r="I102" s="143"/>
      <c r="J102" s="143"/>
      <c r="K102" s="143"/>
      <c r="L102" s="148"/>
      <c r="M102" s="148"/>
      <c r="N102" s="148"/>
    </row>
    <row r="103" spans="1:14" s="54" customFormat="1" ht="90" x14ac:dyDescent="0.25">
      <c r="A103" s="124" t="e">
        <f>A101</f>
        <v>#REF!</v>
      </c>
      <c r="C103" s="56" t="str">
        <f t="shared" ref="C103:C111" si="36">VLOOKUP(E103,$F$12:$G$336,2,0)</f>
        <v xml:space="preserve">ОГБУЗ "Каргасокская РБ" </v>
      </c>
      <c r="D103" s="58"/>
      <c r="E103" s="170">
        <v>69</v>
      </c>
      <c r="F103" s="137"/>
      <c r="G103" s="134"/>
      <c r="H103" s="135" t="s">
        <v>479</v>
      </c>
      <c r="I103" s="142">
        <f t="shared" ref="I103:I110" si="37">J103+K103</f>
        <v>342</v>
      </c>
      <c r="J103" s="142">
        <v>342</v>
      </c>
      <c r="K103" s="144"/>
      <c r="L103" s="149">
        <f t="shared" ref="L103:L110" si="38">M103+N103</f>
        <v>14715.9</v>
      </c>
      <c r="M103" s="149">
        <v>14715.9</v>
      </c>
      <c r="N103" s="149"/>
    </row>
    <row r="104" spans="1:14" s="54" customFormat="1" ht="30" x14ac:dyDescent="0.25">
      <c r="A104" s="124" t="e">
        <f t="shared" si="24"/>
        <v>#REF!</v>
      </c>
      <c r="C104" s="56" t="str">
        <f t="shared" si="36"/>
        <v xml:space="preserve">ОГБУЗ "Каргасокская РБ" </v>
      </c>
      <c r="D104" s="58"/>
      <c r="E104" s="170">
        <v>69</v>
      </c>
      <c r="F104" s="137"/>
      <c r="G104" s="132"/>
      <c r="H104" s="140" t="s">
        <v>187</v>
      </c>
      <c r="I104" s="142">
        <f t="shared" si="37"/>
        <v>114</v>
      </c>
      <c r="J104" s="142">
        <v>114</v>
      </c>
      <c r="K104" s="144"/>
      <c r="L104" s="149">
        <f t="shared" si="38"/>
        <v>7239</v>
      </c>
      <c r="M104" s="149">
        <v>7239</v>
      </c>
      <c r="N104" s="149"/>
    </row>
    <row r="105" spans="1:14" s="54" customFormat="1" ht="30" x14ac:dyDescent="0.25">
      <c r="A105" s="124" t="e">
        <f t="shared" si="24"/>
        <v>#REF!</v>
      </c>
      <c r="B105" s="247"/>
      <c r="C105" s="56" t="str">
        <f t="shared" si="36"/>
        <v xml:space="preserve">ОГБУЗ "Каргасокская РБ" </v>
      </c>
      <c r="D105" s="58"/>
      <c r="E105" s="170">
        <v>69</v>
      </c>
      <c r="F105" s="137"/>
      <c r="G105" s="132"/>
      <c r="H105" s="140" t="s">
        <v>374</v>
      </c>
      <c r="I105" s="142">
        <f t="shared" si="37"/>
        <v>135</v>
      </c>
      <c r="J105" s="142">
        <v>135</v>
      </c>
      <c r="K105" s="144"/>
      <c r="L105" s="149">
        <f t="shared" si="38"/>
        <v>8622.9</v>
      </c>
      <c r="M105" s="149">
        <v>8622.9</v>
      </c>
      <c r="N105" s="149"/>
    </row>
    <row r="106" spans="1:14" s="54" customFormat="1" ht="15.75" x14ac:dyDescent="0.25">
      <c r="A106" s="124" t="e">
        <f>#REF!</f>
        <v>#REF!</v>
      </c>
      <c r="C106" s="56" t="str">
        <f t="shared" si="36"/>
        <v xml:space="preserve">ОГБУЗ "Каргасокская РБ" </v>
      </c>
      <c r="D106" s="58"/>
      <c r="E106" s="170">
        <v>69</v>
      </c>
      <c r="F106" s="137"/>
      <c r="G106" s="132"/>
      <c r="H106" s="133" t="s">
        <v>6</v>
      </c>
      <c r="I106" s="142">
        <f t="shared" si="37"/>
        <v>358</v>
      </c>
      <c r="J106" s="142">
        <v>358</v>
      </c>
      <c r="K106" s="144"/>
      <c r="L106" s="149">
        <f t="shared" si="38"/>
        <v>24242.2</v>
      </c>
      <c r="M106" s="149">
        <v>24242.2</v>
      </c>
      <c r="N106" s="149"/>
    </row>
    <row r="107" spans="1:14" s="54" customFormat="1" ht="15.75" x14ac:dyDescent="0.25">
      <c r="A107" s="124" t="e">
        <f>#REF!</f>
        <v>#REF!</v>
      </c>
      <c r="C107" s="56" t="str">
        <f t="shared" si="36"/>
        <v xml:space="preserve">ОГБУЗ "Каргасокская РБ" </v>
      </c>
      <c r="D107" s="58"/>
      <c r="E107" s="170">
        <v>69</v>
      </c>
      <c r="F107" s="137"/>
      <c r="G107" s="132"/>
      <c r="H107" s="133" t="s">
        <v>7</v>
      </c>
      <c r="I107" s="142">
        <f t="shared" si="37"/>
        <v>230</v>
      </c>
      <c r="J107" s="142">
        <v>230</v>
      </c>
      <c r="K107" s="144"/>
      <c r="L107" s="149">
        <f t="shared" si="38"/>
        <v>13520.1</v>
      </c>
      <c r="M107" s="149">
        <v>13520.1</v>
      </c>
      <c r="N107" s="149"/>
    </row>
    <row r="108" spans="1:14" s="54" customFormat="1" ht="15.75" x14ac:dyDescent="0.25">
      <c r="A108" s="124" t="e">
        <f t="shared" si="24"/>
        <v>#REF!</v>
      </c>
      <c r="C108" s="56" t="str">
        <f t="shared" si="36"/>
        <v xml:space="preserve">ОГБУЗ "Каргасокская РБ" </v>
      </c>
      <c r="D108" s="58"/>
      <c r="E108" s="170">
        <v>69</v>
      </c>
      <c r="F108" s="137"/>
      <c r="G108" s="132"/>
      <c r="H108" s="133" t="s">
        <v>8</v>
      </c>
      <c r="I108" s="142">
        <f t="shared" si="37"/>
        <v>695</v>
      </c>
      <c r="J108" s="142">
        <v>695</v>
      </c>
      <c r="K108" s="144"/>
      <c r="L108" s="149">
        <f t="shared" si="38"/>
        <v>37421.9</v>
      </c>
      <c r="M108" s="149">
        <v>37421.9</v>
      </c>
      <c r="N108" s="149"/>
    </row>
    <row r="109" spans="1:14" s="54" customFormat="1" ht="15.75" x14ac:dyDescent="0.25">
      <c r="A109" s="124" t="e">
        <f t="shared" si="24"/>
        <v>#REF!</v>
      </c>
      <c r="C109" s="56" t="str">
        <f t="shared" si="36"/>
        <v xml:space="preserve">ОГБУЗ "Каргасокская РБ" </v>
      </c>
      <c r="D109" s="58"/>
      <c r="E109" s="170">
        <v>69</v>
      </c>
      <c r="F109" s="137"/>
      <c r="G109" s="132"/>
      <c r="H109" s="133" t="s">
        <v>5</v>
      </c>
      <c r="I109" s="142">
        <f t="shared" si="37"/>
        <v>167</v>
      </c>
      <c r="J109" s="142">
        <v>167</v>
      </c>
      <c r="K109" s="144"/>
      <c r="L109" s="149">
        <f t="shared" si="38"/>
        <v>18943</v>
      </c>
      <c r="M109" s="149">
        <v>18943</v>
      </c>
      <c r="N109" s="149"/>
    </row>
    <row r="110" spans="1:14" s="54" customFormat="1" ht="15.75" x14ac:dyDescent="0.25">
      <c r="A110" s="124" t="e">
        <f t="shared" si="24"/>
        <v>#REF!</v>
      </c>
      <c r="C110" s="56" t="str">
        <f t="shared" si="36"/>
        <v xml:space="preserve">ОГБУЗ "Каргасокская РБ" </v>
      </c>
      <c r="D110" s="58"/>
      <c r="E110" s="170">
        <v>69</v>
      </c>
      <c r="F110" s="137"/>
      <c r="G110" s="134"/>
      <c r="H110" s="133" t="s">
        <v>4</v>
      </c>
      <c r="I110" s="142">
        <f t="shared" si="37"/>
        <v>334</v>
      </c>
      <c r="J110" s="142">
        <v>334</v>
      </c>
      <c r="K110" s="142"/>
      <c r="L110" s="149">
        <f t="shared" si="38"/>
        <v>21243.200000000001</v>
      </c>
      <c r="M110" s="149">
        <v>21243.200000000001</v>
      </c>
      <c r="N110" s="149"/>
    </row>
    <row r="111" spans="1:14" s="54" customFormat="1" ht="15.75" x14ac:dyDescent="0.25">
      <c r="A111" s="124" t="e">
        <f t="shared" si="24"/>
        <v>#REF!</v>
      </c>
      <c r="C111" s="56" t="str">
        <f t="shared" si="36"/>
        <v xml:space="preserve">ОГБУЗ "Каргасокская РБ" </v>
      </c>
      <c r="D111" s="58">
        <v>69</v>
      </c>
      <c r="E111" s="170">
        <v>69</v>
      </c>
      <c r="F111" s="137"/>
      <c r="G111" s="153"/>
      <c r="H111" s="179" t="s">
        <v>188</v>
      </c>
      <c r="I111" s="155">
        <f>ROUND(I103+I106+I107+I108+I109+I110,1)</f>
        <v>2126</v>
      </c>
      <c r="J111" s="155">
        <f>ROUND(J103+J106+J107+J108+J109+J110,1)</f>
        <v>2126</v>
      </c>
      <c r="K111" s="155">
        <f t="shared" ref="K111:N111" si="39">ROUND(K103+K106+K107+K108+K109+K110,1)</f>
        <v>0</v>
      </c>
      <c r="L111" s="156">
        <f t="shared" si="39"/>
        <v>130086.3</v>
      </c>
      <c r="M111" s="156">
        <f t="shared" si="39"/>
        <v>130086.3</v>
      </c>
      <c r="N111" s="156">
        <f t="shared" si="39"/>
        <v>0</v>
      </c>
    </row>
    <row r="112" spans="1:14" s="54" customFormat="1" ht="27" customHeight="1" x14ac:dyDescent="0.25">
      <c r="A112" s="124"/>
      <c r="C112" s="56"/>
      <c r="D112" s="58"/>
      <c r="E112" s="170"/>
      <c r="F112" s="137">
        <v>71</v>
      </c>
      <c r="G112" s="433" t="s">
        <v>97</v>
      </c>
      <c r="H112" s="434"/>
      <c r="I112" s="143"/>
      <c r="J112" s="143"/>
      <c r="K112" s="143"/>
      <c r="L112" s="148"/>
      <c r="M112" s="148"/>
      <c r="N112" s="148"/>
    </row>
    <row r="113" spans="1:14" s="54" customFormat="1" ht="90" x14ac:dyDescent="0.25">
      <c r="A113" s="124" t="e">
        <f>A111</f>
        <v>#REF!</v>
      </c>
      <c r="C113" s="56" t="str">
        <f t="shared" ref="C113:C120" si="40">VLOOKUP(E113,$F$12:$G$336,2,0)</f>
        <v xml:space="preserve">ОГАУЗ "Кожевниковская РБ" </v>
      </c>
      <c r="D113" s="58"/>
      <c r="E113" s="170">
        <v>71</v>
      </c>
      <c r="F113" s="137"/>
      <c r="G113" s="134"/>
      <c r="H113" s="135" t="s">
        <v>479</v>
      </c>
      <c r="I113" s="142">
        <f t="shared" ref="I113:I119" si="41">J113+K113</f>
        <v>388</v>
      </c>
      <c r="J113" s="142">
        <v>388</v>
      </c>
      <c r="K113" s="144"/>
      <c r="L113" s="149">
        <f t="shared" ref="L113:L119" si="42">M113+N113</f>
        <v>16564.599999999999</v>
      </c>
      <c r="M113" s="149">
        <v>16564.599999999999</v>
      </c>
      <c r="N113" s="149"/>
    </row>
    <row r="114" spans="1:14" s="54" customFormat="1" ht="30" x14ac:dyDescent="0.25">
      <c r="A114" s="124" t="e">
        <f t="shared" si="24"/>
        <v>#REF!</v>
      </c>
      <c r="B114" s="247"/>
      <c r="C114" s="56" t="str">
        <f t="shared" si="40"/>
        <v xml:space="preserve">ОГАУЗ "Кожевниковская РБ" </v>
      </c>
      <c r="D114" s="58"/>
      <c r="E114" s="170">
        <v>71</v>
      </c>
      <c r="F114" s="137"/>
      <c r="G114" s="132"/>
      <c r="H114" s="140" t="s">
        <v>187</v>
      </c>
      <c r="I114" s="142">
        <f t="shared" si="41"/>
        <v>108</v>
      </c>
      <c r="J114" s="142">
        <v>108</v>
      </c>
      <c r="K114" s="144"/>
      <c r="L114" s="149">
        <f t="shared" si="42"/>
        <v>5422.6</v>
      </c>
      <c r="M114" s="149">
        <v>5422.6</v>
      </c>
      <c r="N114" s="149"/>
    </row>
    <row r="115" spans="1:14" s="54" customFormat="1" ht="16.5" customHeight="1" x14ac:dyDescent="0.25">
      <c r="A115" s="124" t="e">
        <f t="shared" si="24"/>
        <v>#REF!</v>
      </c>
      <c r="B115" s="62"/>
      <c r="C115" s="56" t="str">
        <f t="shared" si="40"/>
        <v xml:space="preserve">ОГАУЗ "Кожевниковская РБ" </v>
      </c>
      <c r="D115" s="58"/>
      <c r="E115" s="170">
        <v>71</v>
      </c>
      <c r="F115" s="137"/>
      <c r="G115" s="132"/>
      <c r="H115" s="140" t="s">
        <v>374</v>
      </c>
      <c r="I115" s="142">
        <f t="shared" si="41"/>
        <v>127</v>
      </c>
      <c r="J115" s="142">
        <v>127</v>
      </c>
      <c r="K115" s="144"/>
      <c r="L115" s="149">
        <f t="shared" si="42"/>
        <v>6342</v>
      </c>
      <c r="M115" s="149">
        <v>6342</v>
      </c>
      <c r="N115" s="149"/>
    </row>
    <row r="116" spans="1:14" s="54" customFormat="1" ht="15.75" x14ac:dyDescent="0.25">
      <c r="A116" s="124" t="e">
        <f>#REF!</f>
        <v>#REF!</v>
      </c>
      <c r="C116" s="56" t="str">
        <f t="shared" si="40"/>
        <v xml:space="preserve">ОГАУЗ "Кожевниковская РБ" </v>
      </c>
      <c r="D116" s="58"/>
      <c r="E116" s="170">
        <v>71</v>
      </c>
      <c r="F116" s="137"/>
      <c r="G116" s="132"/>
      <c r="H116" s="133" t="s">
        <v>6</v>
      </c>
      <c r="I116" s="142">
        <f t="shared" si="41"/>
        <v>300</v>
      </c>
      <c r="J116" s="142">
        <v>300</v>
      </c>
      <c r="K116" s="144"/>
      <c r="L116" s="149">
        <f t="shared" si="42"/>
        <v>18651.900000000001</v>
      </c>
      <c r="M116" s="149">
        <v>18651.900000000001</v>
      </c>
      <c r="N116" s="149"/>
    </row>
    <row r="117" spans="1:14" s="54" customFormat="1" ht="15.75" x14ac:dyDescent="0.25">
      <c r="A117" s="124" t="e">
        <f t="shared" si="24"/>
        <v>#REF!</v>
      </c>
      <c r="C117" s="56" t="str">
        <f t="shared" si="40"/>
        <v xml:space="preserve">ОГАУЗ "Кожевниковская РБ" </v>
      </c>
      <c r="D117" s="58"/>
      <c r="E117" s="170">
        <v>71</v>
      </c>
      <c r="F117" s="137"/>
      <c r="G117" s="132"/>
      <c r="H117" s="133" t="s">
        <v>7</v>
      </c>
      <c r="I117" s="142">
        <f t="shared" si="41"/>
        <v>322</v>
      </c>
      <c r="J117" s="142">
        <v>322</v>
      </c>
      <c r="K117" s="144"/>
      <c r="L117" s="149">
        <f t="shared" si="42"/>
        <v>13465.6</v>
      </c>
      <c r="M117" s="149">
        <v>13465.6</v>
      </c>
      <c r="N117" s="149"/>
    </row>
    <row r="118" spans="1:14" s="54" customFormat="1" ht="15.75" x14ac:dyDescent="0.25">
      <c r="A118" s="124" t="e">
        <f t="shared" si="24"/>
        <v>#REF!</v>
      </c>
      <c r="C118" s="56" t="str">
        <f t="shared" si="40"/>
        <v xml:space="preserve">ОГАУЗ "Кожевниковская РБ" </v>
      </c>
      <c r="D118" s="58"/>
      <c r="E118" s="170">
        <v>71</v>
      </c>
      <c r="F118" s="137"/>
      <c r="G118" s="132"/>
      <c r="H118" s="133" t="s">
        <v>8</v>
      </c>
      <c r="I118" s="142">
        <f t="shared" si="41"/>
        <v>833</v>
      </c>
      <c r="J118" s="142">
        <v>833</v>
      </c>
      <c r="K118" s="144"/>
      <c r="L118" s="149">
        <f t="shared" si="42"/>
        <v>42754.400000000001</v>
      </c>
      <c r="M118" s="149">
        <v>42754.400000000001</v>
      </c>
      <c r="N118" s="149"/>
    </row>
    <row r="119" spans="1:14" s="54" customFormat="1" ht="15.75" x14ac:dyDescent="0.25">
      <c r="A119" s="124" t="e">
        <f t="shared" si="24"/>
        <v>#REF!</v>
      </c>
      <c r="C119" s="56" t="str">
        <f t="shared" si="40"/>
        <v xml:space="preserve">ОГАУЗ "Кожевниковская РБ" </v>
      </c>
      <c r="D119" s="58"/>
      <c r="E119" s="170">
        <v>71</v>
      </c>
      <c r="F119" s="137"/>
      <c r="G119" s="132"/>
      <c r="H119" s="133" t="s">
        <v>4</v>
      </c>
      <c r="I119" s="142">
        <f t="shared" si="41"/>
        <v>450</v>
      </c>
      <c r="J119" s="142">
        <v>450</v>
      </c>
      <c r="K119" s="144"/>
      <c r="L119" s="149">
        <f t="shared" si="42"/>
        <v>23361.699999999997</v>
      </c>
      <c r="M119" s="149">
        <v>23361.699999999997</v>
      </c>
      <c r="N119" s="149"/>
    </row>
    <row r="120" spans="1:14" s="54" customFormat="1" ht="15.75" x14ac:dyDescent="0.25">
      <c r="A120" s="124" t="e">
        <f t="shared" si="24"/>
        <v>#REF!</v>
      </c>
      <c r="C120" s="56" t="str">
        <f t="shared" si="40"/>
        <v xml:space="preserve">ОГАУЗ "Кожевниковская РБ" </v>
      </c>
      <c r="D120" s="58">
        <v>71</v>
      </c>
      <c r="E120" s="170">
        <v>71</v>
      </c>
      <c r="F120" s="137"/>
      <c r="G120" s="153"/>
      <c r="H120" s="179" t="s">
        <v>188</v>
      </c>
      <c r="I120" s="155">
        <f>ROUND(I113+I116+I117+I118+I119,1)</f>
        <v>2293</v>
      </c>
      <c r="J120" s="155">
        <f>ROUND(J113+J116+J117+J118+J119,1)</f>
        <v>2293</v>
      </c>
      <c r="K120" s="156">
        <f t="shared" ref="K120:N120" si="43">ROUND(K113+K116+K117+K118+K119,1)</f>
        <v>0</v>
      </c>
      <c r="L120" s="156">
        <f t="shared" si="43"/>
        <v>114798.2</v>
      </c>
      <c r="M120" s="156">
        <f t="shared" si="43"/>
        <v>114798.2</v>
      </c>
      <c r="N120" s="156">
        <f t="shared" si="43"/>
        <v>0</v>
      </c>
    </row>
    <row r="121" spans="1:14" s="54" customFormat="1" ht="28.5" customHeight="1" x14ac:dyDescent="0.25">
      <c r="A121" s="124"/>
      <c r="C121" s="56"/>
      <c r="D121" s="58"/>
      <c r="E121" s="170"/>
      <c r="F121" s="137">
        <v>103</v>
      </c>
      <c r="G121" s="433" t="s">
        <v>98</v>
      </c>
      <c r="H121" s="434"/>
      <c r="I121" s="143"/>
      <c r="J121" s="143"/>
      <c r="K121" s="148"/>
      <c r="L121" s="148"/>
      <c r="M121" s="148"/>
      <c r="N121" s="148"/>
    </row>
    <row r="122" spans="1:14" s="54" customFormat="1" ht="90" x14ac:dyDescent="0.25">
      <c r="A122" s="124" t="e">
        <f>A120</f>
        <v>#REF!</v>
      </c>
      <c r="C122" s="56" t="str">
        <f t="shared" ref="C122:C155" si="44">VLOOKUP(E122,$F$12:$G$336,2,0)</f>
        <v xml:space="preserve">ОГАУЗ "Колпашевская РБ" </v>
      </c>
      <c r="D122" s="58"/>
      <c r="E122" s="170">
        <v>103</v>
      </c>
      <c r="F122" s="137"/>
      <c r="G122" s="134"/>
      <c r="H122" s="135" t="s">
        <v>479</v>
      </c>
      <c r="I122" s="142">
        <f t="shared" ref="I122:I132" si="45">J122+K122</f>
        <v>888</v>
      </c>
      <c r="J122" s="142">
        <v>888</v>
      </c>
      <c r="K122" s="144"/>
      <c r="L122" s="149">
        <f t="shared" ref="L122:L132" si="46">M122+N122</f>
        <v>63787.6</v>
      </c>
      <c r="M122" s="149">
        <v>63787.6</v>
      </c>
      <c r="N122" s="149"/>
    </row>
    <row r="123" spans="1:14" s="54" customFormat="1" ht="30" x14ac:dyDescent="0.25">
      <c r="A123" s="124" t="e">
        <f t="shared" si="24"/>
        <v>#REF!</v>
      </c>
      <c r="B123" s="247"/>
      <c r="C123" s="56" t="str">
        <f t="shared" si="44"/>
        <v xml:space="preserve">ОГАУЗ "Колпашевская РБ" </v>
      </c>
      <c r="D123" s="58"/>
      <c r="E123" s="170">
        <v>103</v>
      </c>
      <c r="F123" s="137"/>
      <c r="G123" s="132"/>
      <c r="H123" s="140" t="s">
        <v>187</v>
      </c>
      <c r="I123" s="142">
        <f t="shared" si="45"/>
        <v>193</v>
      </c>
      <c r="J123" s="142">
        <v>193</v>
      </c>
      <c r="K123" s="144"/>
      <c r="L123" s="149">
        <f t="shared" si="46"/>
        <v>18090.2</v>
      </c>
      <c r="M123" s="149">
        <v>18090.2</v>
      </c>
      <c r="N123" s="149"/>
    </row>
    <row r="124" spans="1:14" s="54" customFormat="1" ht="17.25" customHeight="1" x14ac:dyDescent="0.25">
      <c r="A124" s="124" t="e">
        <f t="shared" si="24"/>
        <v>#REF!</v>
      </c>
      <c r="B124" s="62"/>
      <c r="C124" s="56" t="str">
        <f t="shared" si="44"/>
        <v xml:space="preserve">ОГАУЗ "Колпашевская РБ" </v>
      </c>
      <c r="D124" s="58"/>
      <c r="E124" s="170">
        <v>103</v>
      </c>
      <c r="F124" s="137"/>
      <c r="G124" s="132"/>
      <c r="H124" s="140" t="s">
        <v>374</v>
      </c>
      <c r="I124" s="142">
        <f t="shared" si="45"/>
        <v>253</v>
      </c>
      <c r="J124" s="142">
        <v>253</v>
      </c>
      <c r="K124" s="144"/>
      <c r="L124" s="149">
        <f t="shared" si="46"/>
        <v>22086.6</v>
      </c>
      <c r="M124" s="149">
        <v>22086.6</v>
      </c>
      <c r="N124" s="149"/>
    </row>
    <row r="125" spans="1:14" s="54" customFormat="1" ht="15.75" x14ac:dyDescent="0.25">
      <c r="A125" s="124" t="e">
        <f>#REF!</f>
        <v>#REF!</v>
      </c>
      <c r="C125" s="56" t="str">
        <f t="shared" si="44"/>
        <v xml:space="preserve">ОГАУЗ "Колпашевская РБ" </v>
      </c>
      <c r="D125" s="58"/>
      <c r="E125" s="170">
        <v>103</v>
      </c>
      <c r="F125" s="137"/>
      <c r="G125" s="132"/>
      <c r="H125" s="133" t="s">
        <v>6</v>
      </c>
      <c r="I125" s="142">
        <f t="shared" si="45"/>
        <v>850</v>
      </c>
      <c r="J125" s="142">
        <v>850</v>
      </c>
      <c r="K125" s="144"/>
      <c r="L125" s="149">
        <f t="shared" si="46"/>
        <v>85108.1</v>
      </c>
      <c r="M125" s="149">
        <v>85108.1</v>
      </c>
      <c r="N125" s="149"/>
    </row>
    <row r="126" spans="1:14" s="54" customFormat="1" ht="15.75" x14ac:dyDescent="0.25">
      <c r="A126" s="124" t="e">
        <f t="shared" si="24"/>
        <v>#REF!</v>
      </c>
      <c r="C126" s="56" t="str">
        <f t="shared" si="44"/>
        <v xml:space="preserve">ОГАУЗ "Колпашевская РБ" </v>
      </c>
      <c r="D126" s="58"/>
      <c r="E126" s="170">
        <v>103</v>
      </c>
      <c r="F126" s="137"/>
      <c r="G126" s="132"/>
      <c r="H126" s="133" t="s">
        <v>16</v>
      </c>
      <c r="I126" s="142">
        <f t="shared" si="45"/>
        <v>900</v>
      </c>
      <c r="J126" s="142">
        <v>900</v>
      </c>
      <c r="K126" s="144"/>
      <c r="L126" s="149">
        <f t="shared" si="46"/>
        <v>52029.1</v>
      </c>
      <c r="M126" s="149">
        <v>52029.1</v>
      </c>
      <c r="N126" s="149"/>
    </row>
    <row r="127" spans="1:14" s="54" customFormat="1" ht="15.75" x14ac:dyDescent="0.25">
      <c r="A127" s="124" t="e">
        <f t="shared" si="24"/>
        <v>#REF!</v>
      </c>
      <c r="C127" s="56" t="str">
        <f t="shared" si="44"/>
        <v xml:space="preserve">ОГАУЗ "Колпашевская РБ" </v>
      </c>
      <c r="D127" s="58"/>
      <c r="E127" s="170">
        <v>103</v>
      </c>
      <c r="F127" s="137"/>
      <c r="G127" s="132"/>
      <c r="H127" s="133" t="s">
        <v>9</v>
      </c>
      <c r="I127" s="142">
        <f t="shared" si="45"/>
        <v>595</v>
      </c>
      <c r="J127" s="142">
        <v>595</v>
      </c>
      <c r="K127" s="144"/>
      <c r="L127" s="149">
        <f t="shared" si="46"/>
        <v>89180.5</v>
      </c>
      <c r="M127" s="149">
        <v>89180.5</v>
      </c>
      <c r="N127" s="149"/>
    </row>
    <row r="128" spans="1:14" s="54" customFormat="1" ht="15.75" x14ac:dyDescent="0.25">
      <c r="A128" s="124" t="e">
        <f t="shared" si="24"/>
        <v>#REF!</v>
      </c>
      <c r="C128" s="56" t="str">
        <f t="shared" si="44"/>
        <v xml:space="preserve">ОГАУЗ "Колпашевская РБ" </v>
      </c>
      <c r="D128" s="58"/>
      <c r="E128" s="170">
        <v>103</v>
      </c>
      <c r="F128" s="137"/>
      <c r="G128" s="132"/>
      <c r="H128" s="133" t="s">
        <v>189</v>
      </c>
      <c r="I128" s="142">
        <f t="shared" si="45"/>
        <v>7</v>
      </c>
      <c r="J128" s="142">
        <v>7</v>
      </c>
      <c r="K128" s="144"/>
      <c r="L128" s="149">
        <f t="shared" si="46"/>
        <v>890.3</v>
      </c>
      <c r="M128" s="149">
        <v>890.3</v>
      </c>
      <c r="N128" s="149"/>
    </row>
    <row r="129" spans="1:14" s="54" customFormat="1" ht="15.75" x14ac:dyDescent="0.25">
      <c r="A129" s="124" t="e">
        <f t="shared" si="24"/>
        <v>#REF!</v>
      </c>
      <c r="C129" s="56" t="str">
        <f t="shared" si="44"/>
        <v xml:space="preserve">ОГАУЗ "Колпашевская РБ" </v>
      </c>
      <c r="D129" s="58"/>
      <c r="E129" s="170">
        <v>103</v>
      </c>
      <c r="F129" s="137"/>
      <c r="G129" s="132"/>
      <c r="H129" s="133" t="s">
        <v>7</v>
      </c>
      <c r="I129" s="142">
        <f t="shared" si="45"/>
        <v>621</v>
      </c>
      <c r="J129" s="142">
        <v>621</v>
      </c>
      <c r="K129" s="144"/>
      <c r="L129" s="149">
        <f t="shared" si="46"/>
        <v>50830.8</v>
      </c>
      <c r="M129" s="149">
        <v>50830.8</v>
      </c>
      <c r="N129" s="149"/>
    </row>
    <row r="130" spans="1:14" s="54" customFormat="1" ht="15.75" x14ac:dyDescent="0.25">
      <c r="A130" s="124" t="e">
        <f t="shared" si="24"/>
        <v>#REF!</v>
      </c>
      <c r="C130" s="56" t="str">
        <f t="shared" si="44"/>
        <v xml:space="preserve">ОГАУЗ "Колпашевская РБ" </v>
      </c>
      <c r="D130" s="58"/>
      <c r="E130" s="170">
        <v>103</v>
      </c>
      <c r="F130" s="137"/>
      <c r="G130" s="132"/>
      <c r="H130" s="133" t="s">
        <v>8</v>
      </c>
      <c r="I130" s="142">
        <f t="shared" si="45"/>
        <v>1080</v>
      </c>
      <c r="J130" s="142">
        <v>1080</v>
      </c>
      <c r="K130" s="144"/>
      <c r="L130" s="149">
        <f t="shared" si="46"/>
        <v>50894.100000000006</v>
      </c>
      <c r="M130" s="149">
        <f>65894.1-15000</f>
        <v>50894.100000000006</v>
      </c>
      <c r="N130" s="149"/>
    </row>
    <row r="131" spans="1:14" s="54" customFormat="1" ht="15.75" x14ac:dyDescent="0.25">
      <c r="A131" s="124" t="e">
        <f t="shared" ref="A131:A194" si="47">A130</f>
        <v>#REF!</v>
      </c>
      <c r="C131" s="56" t="str">
        <f t="shared" si="44"/>
        <v xml:space="preserve">ОГАУЗ "Колпашевская РБ" </v>
      </c>
      <c r="D131" s="58"/>
      <c r="E131" s="170">
        <v>103</v>
      </c>
      <c r="F131" s="137"/>
      <c r="G131" s="132"/>
      <c r="H131" s="133" t="s">
        <v>5</v>
      </c>
      <c r="I131" s="142">
        <f t="shared" si="45"/>
        <v>586</v>
      </c>
      <c r="J131" s="142">
        <v>586</v>
      </c>
      <c r="K131" s="144"/>
      <c r="L131" s="149">
        <f t="shared" si="46"/>
        <v>42303.8</v>
      </c>
      <c r="M131" s="149">
        <v>42303.8</v>
      </c>
      <c r="N131" s="149"/>
    </row>
    <row r="132" spans="1:14" s="54" customFormat="1" ht="15.75" x14ac:dyDescent="0.25">
      <c r="A132" s="124" t="e">
        <f t="shared" si="47"/>
        <v>#REF!</v>
      </c>
      <c r="C132" s="56" t="str">
        <f t="shared" si="44"/>
        <v xml:space="preserve">ОГАУЗ "Колпашевская РБ" </v>
      </c>
      <c r="D132" s="58"/>
      <c r="E132" s="170">
        <v>103</v>
      </c>
      <c r="F132" s="137"/>
      <c r="G132" s="132"/>
      <c r="H132" s="133" t="s">
        <v>4</v>
      </c>
      <c r="I132" s="142">
        <f t="shared" si="45"/>
        <v>970</v>
      </c>
      <c r="J132" s="142">
        <v>970</v>
      </c>
      <c r="K132" s="144"/>
      <c r="L132" s="149">
        <f t="shared" si="46"/>
        <v>67367.199999999997</v>
      </c>
      <c r="M132" s="149">
        <v>67367.199999999997</v>
      </c>
      <c r="N132" s="149"/>
    </row>
    <row r="133" spans="1:14" s="54" customFormat="1" ht="15.75" x14ac:dyDescent="0.25">
      <c r="A133" s="124" t="e">
        <f>#REF!</f>
        <v>#REF!</v>
      </c>
      <c r="C133" s="56" t="str">
        <f t="shared" si="44"/>
        <v xml:space="preserve">ОГАУЗ "Колпашевская РБ" </v>
      </c>
      <c r="D133" s="58">
        <v>103</v>
      </c>
      <c r="E133" s="170">
        <v>103</v>
      </c>
      <c r="F133" s="137"/>
      <c r="G133" s="182"/>
      <c r="H133" s="154" t="s">
        <v>188</v>
      </c>
      <c r="I133" s="155">
        <f>ROUND(I122+I125+I126+I127+I128+I129+I130+I131+I132,1)</f>
        <v>6497</v>
      </c>
      <c r="J133" s="155">
        <f>ROUND(J122+J125+J126+J127+J128+J129+J130+J131+J132,1)</f>
        <v>6497</v>
      </c>
      <c r="K133" s="155">
        <f t="shared" ref="K133:N133" si="48">ROUND(K122+K125+K126+K127+K128+K129+K130+K131+K132,1)</f>
        <v>0</v>
      </c>
      <c r="L133" s="156">
        <f t="shared" si="48"/>
        <v>502391.5</v>
      </c>
      <c r="M133" s="156">
        <f t="shared" si="48"/>
        <v>502391.5</v>
      </c>
      <c r="N133" s="156">
        <f t="shared" si="48"/>
        <v>0</v>
      </c>
    </row>
    <row r="134" spans="1:14" s="54" customFormat="1" ht="28.5" customHeight="1" x14ac:dyDescent="0.25">
      <c r="A134" s="124" t="e">
        <f t="shared" si="47"/>
        <v>#REF!</v>
      </c>
      <c r="B134" s="247"/>
      <c r="C134" s="56" t="str">
        <f t="shared" si="44"/>
        <v xml:space="preserve">ОГАУЗ "Кривошеинская РБ" </v>
      </c>
      <c r="D134" s="58"/>
      <c r="E134" s="170">
        <v>73</v>
      </c>
      <c r="F134" s="131">
        <v>73</v>
      </c>
      <c r="G134" s="433" t="s">
        <v>99</v>
      </c>
      <c r="H134" s="434"/>
      <c r="I134" s="142"/>
      <c r="J134" s="142"/>
      <c r="K134" s="144"/>
      <c r="L134" s="149"/>
      <c r="M134" s="149"/>
      <c r="N134" s="149"/>
    </row>
    <row r="135" spans="1:14" s="54" customFormat="1" ht="90" x14ac:dyDescent="0.25">
      <c r="A135" s="124" t="e">
        <f t="shared" si="47"/>
        <v>#REF!</v>
      </c>
      <c r="B135" s="62"/>
      <c r="C135" s="56" t="str">
        <f t="shared" si="44"/>
        <v xml:space="preserve">ОГАУЗ "Кривошеинская РБ" </v>
      </c>
      <c r="D135" s="58"/>
      <c r="E135" s="170">
        <v>73</v>
      </c>
      <c r="F135" s="131"/>
      <c r="G135" s="132"/>
      <c r="H135" s="135" t="s">
        <v>479</v>
      </c>
      <c r="I135" s="142">
        <f t="shared" ref="I135:I142" si="49">J135+K135</f>
        <v>159</v>
      </c>
      <c r="J135" s="142">
        <v>159</v>
      </c>
      <c r="K135" s="144"/>
      <c r="L135" s="149">
        <f t="shared" ref="L135:L142" si="50">M135+N135</f>
        <v>5083</v>
      </c>
      <c r="M135" s="149">
        <v>5083</v>
      </c>
      <c r="N135" s="149"/>
    </row>
    <row r="136" spans="1:14" s="54" customFormat="1" ht="19.5" customHeight="1" x14ac:dyDescent="0.25">
      <c r="A136" s="124" t="e">
        <f>#REF!</f>
        <v>#REF!</v>
      </c>
      <c r="C136" s="56" t="str">
        <f t="shared" si="44"/>
        <v xml:space="preserve">ОГАУЗ "Кривошеинская РБ" </v>
      </c>
      <c r="D136" s="58"/>
      <c r="E136" s="170">
        <v>73</v>
      </c>
      <c r="F136" s="131"/>
      <c r="G136" s="132"/>
      <c r="H136" s="140" t="s">
        <v>374</v>
      </c>
      <c r="I136" s="142">
        <f t="shared" si="49"/>
        <v>18</v>
      </c>
      <c r="J136" s="142">
        <v>18</v>
      </c>
      <c r="K136" s="144"/>
      <c r="L136" s="149">
        <f t="shared" si="50"/>
        <v>1476</v>
      </c>
      <c r="M136" s="149">
        <v>1476</v>
      </c>
      <c r="N136" s="149"/>
    </row>
    <row r="137" spans="1:14" s="54" customFormat="1" ht="15.75" x14ac:dyDescent="0.25">
      <c r="A137" s="124" t="e">
        <f t="shared" si="47"/>
        <v>#REF!</v>
      </c>
      <c r="C137" s="56" t="str">
        <f t="shared" si="44"/>
        <v xml:space="preserve">ОГАУЗ "Кривошеинская РБ" </v>
      </c>
      <c r="D137" s="58"/>
      <c r="E137" s="170">
        <v>73</v>
      </c>
      <c r="F137" s="131"/>
      <c r="G137" s="132"/>
      <c r="H137" s="133" t="s">
        <v>6</v>
      </c>
      <c r="I137" s="142">
        <f t="shared" si="49"/>
        <v>400</v>
      </c>
      <c r="J137" s="142">
        <v>400</v>
      </c>
      <c r="K137" s="144"/>
      <c r="L137" s="149">
        <f t="shared" si="50"/>
        <v>18916.5</v>
      </c>
      <c r="M137" s="149">
        <v>18916.5</v>
      </c>
      <c r="N137" s="149"/>
    </row>
    <row r="138" spans="1:14" s="54" customFormat="1" ht="15.75" x14ac:dyDescent="0.25">
      <c r="A138" s="124" t="e">
        <f t="shared" si="47"/>
        <v>#REF!</v>
      </c>
      <c r="C138" s="56" t="str">
        <f t="shared" si="44"/>
        <v xml:space="preserve">ОГАУЗ "Кривошеинская РБ" </v>
      </c>
      <c r="D138" s="58"/>
      <c r="E138" s="170">
        <v>73</v>
      </c>
      <c r="F138" s="131"/>
      <c r="G138" s="132"/>
      <c r="H138" s="133" t="s">
        <v>9</v>
      </c>
      <c r="I138" s="142">
        <f t="shared" si="49"/>
        <v>200</v>
      </c>
      <c r="J138" s="142">
        <v>200</v>
      </c>
      <c r="K138" s="144"/>
      <c r="L138" s="149">
        <f t="shared" si="50"/>
        <v>8189.1</v>
      </c>
      <c r="M138" s="149">
        <v>8189.1</v>
      </c>
      <c r="N138" s="149"/>
    </row>
    <row r="139" spans="1:14" s="54" customFormat="1" ht="15.75" x14ac:dyDescent="0.25">
      <c r="A139" s="124" t="e">
        <f t="shared" si="47"/>
        <v>#REF!</v>
      </c>
      <c r="C139" s="56" t="str">
        <f t="shared" si="44"/>
        <v xml:space="preserve">ОГАУЗ "Кривошеинская РБ" </v>
      </c>
      <c r="D139" s="58"/>
      <c r="E139" s="170">
        <v>73</v>
      </c>
      <c r="F139" s="131"/>
      <c r="G139" s="132"/>
      <c r="H139" s="133" t="s">
        <v>7</v>
      </c>
      <c r="I139" s="142">
        <f t="shared" si="49"/>
        <v>280</v>
      </c>
      <c r="J139" s="142">
        <v>280</v>
      </c>
      <c r="K139" s="144"/>
      <c r="L139" s="149">
        <f t="shared" si="50"/>
        <v>12691.6</v>
      </c>
      <c r="M139" s="149">
        <v>12691.6</v>
      </c>
      <c r="N139" s="149"/>
    </row>
    <row r="140" spans="1:14" s="54" customFormat="1" ht="15.75" x14ac:dyDescent="0.25">
      <c r="A140" s="124" t="e">
        <f t="shared" si="47"/>
        <v>#REF!</v>
      </c>
      <c r="C140" s="56" t="str">
        <f t="shared" si="44"/>
        <v xml:space="preserve">ОГАУЗ "Кривошеинская РБ" </v>
      </c>
      <c r="D140" s="58"/>
      <c r="E140" s="170">
        <v>73</v>
      </c>
      <c r="F140" s="131"/>
      <c r="G140" s="132"/>
      <c r="H140" s="133" t="s">
        <v>8</v>
      </c>
      <c r="I140" s="142">
        <f t="shared" si="49"/>
        <v>310</v>
      </c>
      <c r="J140" s="142">
        <v>310</v>
      </c>
      <c r="K140" s="144"/>
      <c r="L140" s="149">
        <f t="shared" si="50"/>
        <v>15852.4</v>
      </c>
      <c r="M140" s="149">
        <v>15852.4</v>
      </c>
      <c r="N140" s="149"/>
    </row>
    <row r="141" spans="1:14" s="54" customFormat="1" ht="15.75" x14ac:dyDescent="0.25">
      <c r="A141" s="124" t="e">
        <f t="shared" si="47"/>
        <v>#REF!</v>
      </c>
      <c r="C141" s="56" t="str">
        <f t="shared" si="44"/>
        <v xml:space="preserve">ОГАУЗ "Кривошеинская РБ" </v>
      </c>
      <c r="D141" s="58"/>
      <c r="E141" s="170">
        <v>73</v>
      </c>
      <c r="F141" s="131"/>
      <c r="G141" s="132"/>
      <c r="H141" s="133" t="s">
        <v>4</v>
      </c>
      <c r="I141" s="142">
        <f t="shared" si="49"/>
        <v>481</v>
      </c>
      <c r="J141" s="142">
        <v>481</v>
      </c>
      <c r="K141" s="144"/>
      <c r="L141" s="149">
        <f t="shared" si="50"/>
        <v>23803.3</v>
      </c>
      <c r="M141" s="149">
        <v>23803.3</v>
      </c>
      <c r="N141" s="149"/>
    </row>
    <row r="142" spans="1:14" s="54" customFormat="1" ht="15.75" x14ac:dyDescent="0.25">
      <c r="A142" s="124" t="e">
        <f t="shared" si="47"/>
        <v>#REF!</v>
      </c>
      <c r="C142" s="56" t="str">
        <f t="shared" si="44"/>
        <v xml:space="preserve">ОГАУЗ "Кривошеинская РБ" </v>
      </c>
      <c r="D142" s="58"/>
      <c r="E142" s="170">
        <v>73</v>
      </c>
      <c r="F142" s="131"/>
      <c r="G142" s="134"/>
      <c r="H142" s="133" t="s">
        <v>16</v>
      </c>
      <c r="I142" s="142">
        <f t="shared" si="49"/>
        <v>270</v>
      </c>
      <c r="J142" s="142">
        <v>270</v>
      </c>
      <c r="K142" s="142"/>
      <c r="L142" s="149">
        <f t="shared" si="50"/>
        <v>10539.800000000001</v>
      </c>
      <c r="M142" s="149">
        <v>10539.800000000001</v>
      </c>
      <c r="N142" s="149"/>
    </row>
    <row r="143" spans="1:14" s="54" customFormat="1" ht="15.75" x14ac:dyDescent="0.25">
      <c r="A143" s="124" t="e">
        <f t="shared" si="47"/>
        <v>#REF!</v>
      </c>
      <c r="B143" s="247"/>
      <c r="C143" s="56" t="str">
        <f t="shared" si="44"/>
        <v xml:space="preserve">ОГАУЗ "Кривошеинская РБ" </v>
      </c>
      <c r="D143" s="58">
        <v>73</v>
      </c>
      <c r="E143" s="170">
        <v>73</v>
      </c>
      <c r="F143" s="131"/>
      <c r="G143" s="157"/>
      <c r="H143" s="154" t="s">
        <v>188</v>
      </c>
      <c r="I143" s="155">
        <f>ROUND(I134+I135+I137+I138+I139+I140+I141+I142,0)</f>
        <v>2100</v>
      </c>
      <c r="J143" s="155">
        <f>ROUND(J134+J135+J137+J138+J139+J140+J141+J142,0)</f>
        <v>2100</v>
      </c>
      <c r="K143" s="155">
        <f>ROUND(K134+K135+K137+K138+K139+K140+K141+K142,0)</f>
        <v>0</v>
      </c>
      <c r="L143" s="156">
        <f>ROUND(L134+L135+L137+L138+L139+L140+L141+L142,1)</f>
        <v>95075.7</v>
      </c>
      <c r="M143" s="156">
        <f>ROUND(M134+M135+M137+M138+M139+M140+M141+M142,1)</f>
        <v>95075.7</v>
      </c>
      <c r="N143" s="156">
        <f>ROUND(N134+N135+N137+N138+N139+N140+N141+N142,1)</f>
        <v>0</v>
      </c>
    </row>
    <row r="144" spans="1:14" s="54" customFormat="1" ht="20.25" customHeight="1" x14ac:dyDescent="0.25">
      <c r="A144" s="124" t="e">
        <f t="shared" si="47"/>
        <v>#REF!</v>
      </c>
      <c r="B144" s="62"/>
      <c r="C144" s="56" t="str">
        <f t="shared" si="44"/>
        <v xml:space="preserve">ОГБУЗ "Молчановская РБ" </v>
      </c>
      <c r="D144" s="58"/>
      <c r="E144" s="170">
        <v>75</v>
      </c>
      <c r="F144" s="131">
        <v>75</v>
      </c>
      <c r="G144" s="433" t="s">
        <v>205</v>
      </c>
      <c r="H144" s="434"/>
      <c r="I144" s="142"/>
      <c r="J144" s="142"/>
      <c r="K144" s="144"/>
      <c r="L144" s="149"/>
      <c r="M144" s="149"/>
      <c r="N144" s="149"/>
    </row>
    <row r="145" spans="1:14" s="54" customFormat="1" ht="28.5" customHeight="1" x14ac:dyDescent="0.25">
      <c r="A145" s="124" t="e">
        <f t="shared" si="47"/>
        <v>#REF!</v>
      </c>
      <c r="C145" s="56" t="str">
        <f t="shared" si="44"/>
        <v xml:space="preserve">ОГБУЗ "Молчановская РБ" </v>
      </c>
      <c r="D145" s="58"/>
      <c r="E145" s="170">
        <v>75</v>
      </c>
      <c r="F145" s="131"/>
      <c r="G145" s="132"/>
      <c r="H145" s="135" t="s">
        <v>479</v>
      </c>
      <c r="I145" s="142">
        <f t="shared" ref="I145:I154" si="51">J145+K145</f>
        <v>398</v>
      </c>
      <c r="J145" s="142">
        <v>398</v>
      </c>
      <c r="K145" s="144"/>
      <c r="L145" s="149">
        <f t="shared" ref="L145:L154" si="52">M145+N145</f>
        <v>24744.5</v>
      </c>
      <c r="M145" s="149">
        <v>24744.5</v>
      </c>
      <c r="N145" s="149"/>
    </row>
    <row r="146" spans="1:14" s="54" customFormat="1" ht="30" x14ac:dyDescent="0.25">
      <c r="A146" s="124" t="e">
        <f t="shared" si="47"/>
        <v>#REF!</v>
      </c>
      <c r="C146" s="56" t="str">
        <f t="shared" si="44"/>
        <v xml:space="preserve">ОГБУЗ "Молчановская РБ" </v>
      </c>
      <c r="D146" s="58"/>
      <c r="E146" s="170">
        <v>75</v>
      </c>
      <c r="F146" s="131"/>
      <c r="G146" s="132"/>
      <c r="H146" s="140" t="s">
        <v>187</v>
      </c>
      <c r="I146" s="142">
        <f t="shared" si="51"/>
        <v>130</v>
      </c>
      <c r="J146" s="142">
        <v>130</v>
      </c>
      <c r="K146" s="144"/>
      <c r="L146" s="149">
        <f t="shared" si="52"/>
        <v>8361.7999999999993</v>
      </c>
      <c r="M146" s="149">
        <v>8361.7999999999993</v>
      </c>
      <c r="N146" s="149"/>
    </row>
    <row r="147" spans="1:14" s="54" customFormat="1" ht="17.25" customHeight="1" x14ac:dyDescent="0.25">
      <c r="A147" s="124" t="e">
        <f t="shared" si="47"/>
        <v>#REF!</v>
      </c>
      <c r="B147" s="247"/>
      <c r="C147" s="56" t="str">
        <f t="shared" si="44"/>
        <v xml:space="preserve">ОГБУЗ "Молчановская РБ" </v>
      </c>
      <c r="D147" s="58"/>
      <c r="E147" s="170">
        <v>75</v>
      </c>
      <c r="F147" s="131"/>
      <c r="G147" s="132"/>
      <c r="H147" s="140" t="s">
        <v>374</v>
      </c>
      <c r="I147" s="142">
        <f t="shared" si="51"/>
        <v>162</v>
      </c>
      <c r="J147" s="142">
        <v>162</v>
      </c>
      <c r="K147" s="144"/>
      <c r="L147" s="149">
        <f t="shared" si="52"/>
        <v>9616.1</v>
      </c>
      <c r="M147" s="149">
        <v>9616.1</v>
      </c>
      <c r="N147" s="149"/>
    </row>
    <row r="148" spans="1:14" s="54" customFormat="1" ht="17.25" customHeight="1" x14ac:dyDescent="0.25">
      <c r="A148" s="124" t="e">
        <f t="shared" si="47"/>
        <v>#REF!</v>
      </c>
      <c r="B148" s="62"/>
      <c r="C148" s="56" t="str">
        <f t="shared" si="44"/>
        <v xml:space="preserve">ОГБУЗ "Молчановская РБ" </v>
      </c>
      <c r="D148" s="58"/>
      <c r="E148" s="170">
        <v>75</v>
      </c>
      <c r="F148" s="131"/>
      <c r="G148" s="132"/>
      <c r="H148" s="133" t="s">
        <v>6</v>
      </c>
      <c r="I148" s="142">
        <f t="shared" si="51"/>
        <v>123</v>
      </c>
      <c r="J148" s="142">
        <v>123</v>
      </c>
      <c r="K148" s="144"/>
      <c r="L148" s="149">
        <f t="shared" si="52"/>
        <v>6493.6</v>
      </c>
      <c r="M148" s="149">
        <v>6493.6</v>
      </c>
      <c r="N148" s="149"/>
    </row>
    <row r="149" spans="1:14" s="54" customFormat="1" ht="15.75" x14ac:dyDescent="0.25">
      <c r="A149" s="124" t="e">
        <f>#REF!</f>
        <v>#REF!</v>
      </c>
      <c r="C149" s="56" t="str">
        <f t="shared" si="44"/>
        <v xml:space="preserve">ОГБУЗ "Молчановская РБ" </v>
      </c>
      <c r="D149" s="58"/>
      <c r="E149" s="170">
        <v>75</v>
      </c>
      <c r="F149" s="131"/>
      <c r="G149" s="132"/>
      <c r="H149" s="133" t="s">
        <v>9</v>
      </c>
      <c r="I149" s="142">
        <f t="shared" si="51"/>
        <v>163</v>
      </c>
      <c r="J149" s="142">
        <v>163</v>
      </c>
      <c r="K149" s="144"/>
      <c r="L149" s="149">
        <f t="shared" si="52"/>
        <v>8110.7</v>
      </c>
      <c r="M149" s="149">
        <v>8110.7</v>
      </c>
      <c r="N149" s="149"/>
    </row>
    <row r="150" spans="1:14" s="54" customFormat="1" ht="15.75" x14ac:dyDescent="0.25">
      <c r="A150" s="124" t="e">
        <f t="shared" si="47"/>
        <v>#REF!</v>
      </c>
      <c r="C150" s="56" t="str">
        <f t="shared" si="44"/>
        <v xml:space="preserve">ОГБУЗ "Молчановская РБ" </v>
      </c>
      <c r="D150" s="58"/>
      <c r="E150" s="170">
        <v>75</v>
      </c>
      <c r="F150" s="131"/>
      <c r="G150" s="132"/>
      <c r="H150" s="133" t="s">
        <v>7</v>
      </c>
      <c r="I150" s="142">
        <f t="shared" si="51"/>
        <v>285</v>
      </c>
      <c r="J150" s="142">
        <v>285</v>
      </c>
      <c r="K150" s="144"/>
      <c r="L150" s="149">
        <f t="shared" si="52"/>
        <v>22843.5</v>
      </c>
      <c r="M150" s="149">
        <v>22843.5</v>
      </c>
      <c r="N150" s="149"/>
    </row>
    <row r="151" spans="1:14" s="54" customFormat="1" ht="15.75" x14ac:dyDescent="0.25">
      <c r="A151" s="124" t="e">
        <f t="shared" si="47"/>
        <v>#REF!</v>
      </c>
      <c r="C151" s="56" t="str">
        <f t="shared" si="44"/>
        <v xml:space="preserve">ОГБУЗ "Молчановская РБ" </v>
      </c>
      <c r="D151" s="58"/>
      <c r="E151" s="170">
        <v>75</v>
      </c>
      <c r="F151" s="131"/>
      <c r="G151" s="132"/>
      <c r="H151" s="133" t="s">
        <v>8</v>
      </c>
      <c r="I151" s="142">
        <f t="shared" si="51"/>
        <v>413</v>
      </c>
      <c r="J151" s="142">
        <v>413</v>
      </c>
      <c r="K151" s="144"/>
      <c r="L151" s="149">
        <f t="shared" si="52"/>
        <v>28129.9</v>
      </c>
      <c r="M151" s="149">
        <v>28129.9</v>
      </c>
      <c r="N151" s="149"/>
    </row>
    <row r="152" spans="1:14" s="54" customFormat="1" ht="15.75" x14ac:dyDescent="0.25">
      <c r="A152" s="124" t="e">
        <f t="shared" si="47"/>
        <v>#REF!</v>
      </c>
      <c r="C152" s="56" t="str">
        <f t="shared" si="44"/>
        <v xml:space="preserve">ОГБУЗ "Молчановская РБ" </v>
      </c>
      <c r="D152" s="58"/>
      <c r="E152" s="170">
        <v>75</v>
      </c>
      <c r="F152" s="131"/>
      <c r="G152" s="132"/>
      <c r="H152" s="133" t="s">
        <v>5</v>
      </c>
      <c r="I152" s="142">
        <f t="shared" si="51"/>
        <v>75</v>
      </c>
      <c r="J152" s="142">
        <v>75</v>
      </c>
      <c r="K152" s="144"/>
      <c r="L152" s="149">
        <f t="shared" si="52"/>
        <v>3477.4</v>
      </c>
      <c r="M152" s="149">
        <v>3477.4</v>
      </c>
      <c r="N152" s="149"/>
    </row>
    <row r="153" spans="1:14" s="54" customFormat="1" ht="15.75" x14ac:dyDescent="0.25">
      <c r="A153" s="124" t="e">
        <f t="shared" si="47"/>
        <v>#REF!</v>
      </c>
      <c r="C153" s="56" t="str">
        <f t="shared" si="44"/>
        <v xml:space="preserve">ОГБУЗ "Молчановская РБ" </v>
      </c>
      <c r="D153" s="58"/>
      <c r="E153" s="170">
        <v>75</v>
      </c>
      <c r="F153" s="131"/>
      <c r="G153" s="132"/>
      <c r="H153" s="133" t="s">
        <v>13</v>
      </c>
      <c r="I153" s="142">
        <f t="shared" si="51"/>
        <v>111</v>
      </c>
      <c r="J153" s="142">
        <v>111</v>
      </c>
      <c r="K153" s="144"/>
      <c r="L153" s="149">
        <f t="shared" si="52"/>
        <v>5176.8</v>
      </c>
      <c r="M153" s="149">
        <v>5176.8</v>
      </c>
      <c r="N153" s="149"/>
    </row>
    <row r="154" spans="1:14" s="54" customFormat="1" ht="15.75" x14ac:dyDescent="0.25">
      <c r="A154" s="124" t="e">
        <f t="shared" si="47"/>
        <v>#REF!</v>
      </c>
      <c r="C154" s="56" t="str">
        <f t="shared" si="44"/>
        <v xml:space="preserve">ОГБУЗ "Молчановская РБ" </v>
      </c>
      <c r="D154" s="58"/>
      <c r="E154" s="170">
        <v>75</v>
      </c>
      <c r="F154" s="131"/>
      <c r="G154" s="134"/>
      <c r="H154" s="133" t="s">
        <v>4</v>
      </c>
      <c r="I154" s="142">
        <f t="shared" si="51"/>
        <v>462</v>
      </c>
      <c r="J154" s="142">
        <v>462</v>
      </c>
      <c r="K154" s="142"/>
      <c r="L154" s="149">
        <f t="shared" si="52"/>
        <v>23903.1</v>
      </c>
      <c r="M154" s="149">
        <v>23903.1</v>
      </c>
      <c r="N154" s="149"/>
    </row>
    <row r="155" spans="1:14" s="54" customFormat="1" ht="15.75" x14ac:dyDescent="0.25">
      <c r="A155" s="124" t="e">
        <f t="shared" si="47"/>
        <v>#REF!</v>
      </c>
      <c r="C155" s="56" t="str">
        <f t="shared" si="44"/>
        <v xml:space="preserve">ОГБУЗ "Молчановская РБ" </v>
      </c>
      <c r="D155" s="58">
        <v>75</v>
      </c>
      <c r="E155" s="170">
        <v>75</v>
      </c>
      <c r="F155" s="131"/>
      <c r="G155" s="153"/>
      <c r="H155" s="179" t="s">
        <v>188</v>
      </c>
      <c r="I155" s="155">
        <f>ROUND(I144+I145+I148+I149+I150+I151+I152+I153+I154,1)</f>
        <v>2030</v>
      </c>
      <c r="J155" s="155">
        <f>ROUND(J144+J145+J148+J149+J150+J151+J152+J153+J154,1)</f>
        <v>2030</v>
      </c>
      <c r="K155" s="155">
        <f t="shared" ref="K155:N155" si="53">ROUND(K144+K145+K148+K149+K150+K151+K152+K153+K154,1)</f>
        <v>0</v>
      </c>
      <c r="L155" s="156">
        <f t="shared" si="53"/>
        <v>122879.5</v>
      </c>
      <c r="M155" s="156">
        <f t="shared" si="53"/>
        <v>122879.5</v>
      </c>
      <c r="N155" s="156">
        <f t="shared" si="53"/>
        <v>0</v>
      </c>
    </row>
    <row r="156" spans="1:14" s="54" customFormat="1" ht="24.75" customHeight="1" x14ac:dyDescent="0.25">
      <c r="A156" s="124"/>
      <c r="C156" s="56"/>
      <c r="D156" s="58"/>
      <c r="E156" s="170"/>
      <c r="F156" s="137">
        <v>275</v>
      </c>
      <c r="G156" s="433" t="s">
        <v>206</v>
      </c>
      <c r="H156" s="434"/>
      <c r="I156" s="143"/>
      <c r="J156" s="143"/>
      <c r="K156" s="143"/>
      <c r="L156" s="148"/>
      <c r="M156" s="148"/>
      <c r="N156" s="148"/>
    </row>
    <row r="157" spans="1:14" s="54" customFormat="1" ht="15.75" x14ac:dyDescent="0.25">
      <c r="A157" s="124" t="e">
        <f>A155</f>
        <v>#REF!</v>
      </c>
      <c r="C157" s="56" t="str">
        <f t="shared" ref="C157:C171" si="54">VLOOKUP(E157,$F$12:$G$336,2,0)</f>
        <v xml:space="preserve">ОГАУЗ "Моряковская УБ им. В.С. Демьянова" </v>
      </c>
      <c r="D157" s="58"/>
      <c r="E157" s="170">
        <v>275</v>
      </c>
      <c r="F157" s="137"/>
      <c r="G157" s="134"/>
      <c r="H157" s="122" t="s">
        <v>8</v>
      </c>
      <c r="I157" s="142">
        <f>J157+K157</f>
        <v>595</v>
      </c>
      <c r="J157" s="142">
        <f>395+200</f>
        <v>595</v>
      </c>
      <c r="K157" s="144"/>
      <c r="L157" s="149">
        <f>M157+N157</f>
        <v>20009.3</v>
      </c>
      <c r="M157" s="149">
        <f>13478.8+6530.5</f>
        <v>20009.3</v>
      </c>
      <c r="N157" s="149"/>
    </row>
    <row r="158" spans="1:14" s="54" customFormat="1" ht="15.75" x14ac:dyDescent="0.25">
      <c r="A158" s="124" t="e">
        <f t="shared" si="47"/>
        <v>#REF!</v>
      </c>
      <c r="C158" s="56" t="str">
        <f t="shared" si="54"/>
        <v xml:space="preserve">ОГАУЗ "Моряковская УБ им. В.С. Демьянова" </v>
      </c>
      <c r="D158" s="58">
        <v>275</v>
      </c>
      <c r="E158" s="170">
        <v>275</v>
      </c>
      <c r="F158" s="137"/>
      <c r="G158" s="183"/>
      <c r="H158" s="159" t="s">
        <v>188</v>
      </c>
      <c r="I158" s="155">
        <f>ROUND(I157,0)</f>
        <v>595</v>
      </c>
      <c r="J158" s="155">
        <f>ROUND(J157,0)</f>
        <v>595</v>
      </c>
      <c r="K158" s="155">
        <f>ROUND(K157,0)</f>
        <v>0</v>
      </c>
      <c r="L158" s="156">
        <f t="shared" ref="L158:N158" si="55">ROUND(L157,1)</f>
        <v>20009.3</v>
      </c>
      <c r="M158" s="156">
        <f t="shared" si="55"/>
        <v>20009.3</v>
      </c>
      <c r="N158" s="156">
        <f t="shared" si="55"/>
        <v>0</v>
      </c>
    </row>
    <row r="159" spans="1:14" s="54" customFormat="1" ht="20.25" customHeight="1" x14ac:dyDescent="0.25">
      <c r="A159" s="124" t="e">
        <f t="shared" si="47"/>
        <v>#REF!</v>
      </c>
      <c r="B159" s="247"/>
      <c r="C159" s="56" t="str">
        <f t="shared" si="54"/>
        <v>ОГБУЗ "Медико-санитарная часть № 2"</v>
      </c>
      <c r="D159" s="58"/>
      <c r="E159" s="170">
        <v>140</v>
      </c>
      <c r="F159" s="131">
        <v>140</v>
      </c>
      <c r="G159" s="433" t="s">
        <v>207</v>
      </c>
      <c r="H159" s="434"/>
      <c r="I159" s="142"/>
      <c r="J159" s="142"/>
      <c r="K159" s="144"/>
      <c r="L159" s="149"/>
      <c r="M159" s="149"/>
      <c r="N159" s="149"/>
    </row>
    <row r="160" spans="1:14" s="54" customFormat="1" ht="15.75" x14ac:dyDescent="0.25">
      <c r="A160" s="124" t="e">
        <f>A159</f>
        <v>#REF!</v>
      </c>
      <c r="B160" s="62"/>
      <c r="C160" s="56" t="str">
        <f t="shared" si="54"/>
        <v>ОГБУЗ "Медико-санитарная часть № 2"</v>
      </c>
      <c r="D160" s="58"/>
      <c r="E160" s="170">
        <v>140</v>
      </c>
      <c r="F160" s="131"/>
      <c r="G160" s="132"/>
      <c r="H160" s="133" t="s">
        <v>6</v>
      </c>
      <c r="I160" s="142">
        <f t="shared" ref="I160:I166" si="56">J160+K160</f>
        <v>3495</v>
      </c>
      <c r="J160" s="142">
        <f>1664+116+1884-169</f>
        <v>3495</v>
      </c>
      <c r="K160" s="144"/>
      <c r="L160" s="149">
        <f t="shared" ref="L160:L166" si="57">M160+N160</f>
        <v>227475.80000000002</v>
      </c>
      <c r="M160" s="149">
        <f>109276.1+11566.4+113026.1-6392.8</f>
        <v>227475.80000000002</v>
      </c>
      <c r="N160" s="149"/>
    </row>
    <row r="161" spans="1:14" s="54" customFormat="1" ht="15.75" x14ac:dyDescent="0.25">
      <c r="A161" s="124" t="e">
        <f>A160</f>
        <v>#REF!</v>
      </c>
      <c r="C161" s="56" t="str">
        <f t="shared" si="54"/>
        <v>ОГБУЗ "Медико-санитарная часть № 2"</v>
      </c>
      <c r="D161" s="58"/>
      <c r="E161" s="170">
        <v>140</v>
      </c>
      <c r="F161" s="131"/>
      <c r="G161" s="132"/>
      <c r="H161" s="133" t="s">
        <v>8</v>
      </c>
      <c r="I161" s="142">
        <f t="shared" si="56"/>
        <v>1915</v>
      </c>
      <c r="J161" s="142">
        <v>1915</v>
      </c>
      <c r="K161" s="144"/>
      <c r="L161" s="149">
        <f t="shared" si="57"/>
        <v>130242.2</v>
      </c>
      <c r="M161" s="149">
        <v>130242.2</v>
      </c>
      <c r="N161" s="149"/>
    </row>
    <row r="162" spans="1:14" s="54" customFormat="1" ht="15.75" x14ac:dyDescent="0.25">
      <c r="A162" s="124" t="e">
        <f t="shared" si="47"/>
        <v>#REF!</v>
      </c>
      <c r="B162" s="247"/>
      <c r="C162" s="56" t="str">
        <f t="shared" si="54"/>
        <v>ОГБУЗ "Медико-санитарная часть № 2"</v>
      </c>
      <c r="D162" s="58"/>
      <c r="E162" s="170">
        <v>140</v>
      </c>
      <c r="F162" s="131"/>
      <c r="G162" s="132"/>
      <c r="H162" s="133" t="s">
        <v>13</v>
      </c>
      <c r="I162" s="142">
        <f t="shared" si="56"/>
        <v>2017</v>
      </c>
      <c r="J162" s="142">
        <v>1994</v>
      </c>
      <c r="K162" s="144">
        <f>16+7</f>
        <v>23</v>
      </c>
      <c r="L162" s="149">
        <f t="shared" si="57"/>
        <v>141741.6</v>
      </c>
      <c r="M162" s="149">
        <v>138317.70000000001</v>
      </c>
      <c r="N162" s="149">
        <f>2463.8+960+0.1</f>
        <v>3423.9</v>
      </c>
    </row>
    <row r="163" spans="1:14" s="54" customFormat="1" ht="22.5" customHeight="1" x14ac:dyDescent="0.25">
      <c r="A163" s="124" t="e">
        <f t="shared" si="47"/>
        <v>#REF!</v>
      </c>
      <c r="B163" s="62"/>
      <c r="C163" s="56" t="str">
        <f t="shared" si="54"/>
        <v>ОГБУЗ "Медико-санитарная часть № 2"</v>
      </c>
      <c r="D163" s="58"/>
      <c r="E163" s="170">
        <v>140</v>
      </c>
      <c r="F163" s="131"/>
      <c r="G163" s="132"/>
      <c r="H163" s="133" t="s">
        <v>4</v>
      </c>
      <c r="I163" s="142">
        <f t="shared" si="56"/>
        <v>1931</v>
      </c>
      <c r="J163" s="142">
        <v>1931</v>
      </c>
      <c r="K163" s="144"/>
      <c r="L163" s="149">
        <f t="shared" si="57"/>
        <v>130475.5</v>
      </c>
      <c r="M163" s="149">
        <v>130475.5</v>
      </c>
      <c r="N163" s="149"/>
    </row>
    <row r="164" spans="1:14" s="54" customFormat="1" ht="15.75" x14ac:dyDescent="0.25">
      <c r="A164" s="124" t="e">
        <f t="shared" si="47"/>
        <v>#REF!</v>
      </c>
      <c r="C164" s="56" t="str">
        <f t="shared" si="54"/>
        <v>ОГБУЗ "Медико-санитарная часть № 2"</v>
      </c>
      <c r="D164" s="58"/>
      <c r="E164" s="170">
        <v>140</v>
      </c>
      <c r="F164" s="131"/>
      <c r="G164" s="132"/>
      <c r="H164" s="133" t="s">
        <v>9</v>
      </c>
      <c r="I164" s="142">
        <f t="shared" si="56"/>
        <v>1085</v>
      </c>
      <c r="J164" s="142">
        <v>1085</v>
      </c>
      <c r="K164" s="144"/>
      <c r="L164" s="149">
        <f t="shared" si="57"/>
        <v>46526.8</v>
      </c>
      <c r="M164" s="149">
        <v>46526.8</v>
      </c>
      <c r="N164" s="149"/>
    </row>
    <row r="165" spans="1:14" s="54" customFormat="1" ht="15.75" x14ac:dyDescent="0.25">
      <c r="A165" s="124" t="e">
        <f t="shared" si="47"/>
        <v>#REF!</v>
      </c>
      <c r="C165" s="56" t="str">
        <f t="shared" si="54"/>
        <v>ОГБУЗ "Медико-санитарная часть № 2"</v>
      </c>
      <c r="D165" s="58"/>
      <c r="E165" s="170">
        <v>140</v>
      </c>
      <c r="F165" s="131"/>
      <c r="G165" s="132"/>
      <c r="H165" s="133" t="s">
        <v>12</v>
      </c>
      <c r="I165" s="142">
        <f t="shared" si="56"/>
        <v>1067</v>
      </c>
      <c r="J165" s="142">
        <v>1067</v>
      </c>
      <c r="K165" s="144"/>
      <c r="L165" s="149">
        <f t="shared" si="57"/>
        <v>57017.4</v>
      </c>
      <c r="M165" s="149">
        <f>57017.4</f>
        <v>57017.4</v>
      </c>
      <c r="N165" s="149"/>
    </row>
    <row r="166" spans="1:14" s="54" customFormat="1" ht="15.75" x14ac:dyDescent="0.25">
      <c r="A166" s="124" t="e">
        <f t="shared" si="47"/>
        <v>#REF!</v>
      </c>
      <c r="C166" s="56" t="str">
        <f t="shared" si="54"/>
        <v>ОГБУЗ "Медико-санитарная часть № 2"</v>
      </c>
      <c r="D166" s="58"/>
      <c r="E166" s="170">
        <v>140</v>
      </c>
      <c r="F166" s="131"/>
      <c r="G166" s="134"/>
      <c r="H166" s="133" t="s">
        <v>16</v>
      </c>
      <c r="I166" s="142">
        <f t="shared" si="56"/>
        <v>1339</v>
      </c>
      <c r="J166" s="142">
        <f>1339</f>
        <v>1339</v>
      </c>
      <c r="K166" s="142"/>
      <c r="L166" s="149">
        <f t="shared" si="57"/>
        <v>64362.6</v>
      </c>
      <c r="M166" s="149">
        <v>64362.6</v>
      </c>
      <c r="N166" s="149"/>
    </row>
    <row r="167" spans="1:14" s="54" customFormat="1" ht="15.75" x14ac:dyDescent="0.25">
      <c r="A167" s="124" t="e">
        <f t="shared" si="47"/>
        <v>#REF!</v>
      </c>
      <c r="C167" s="56" t="str">
        <f t="shared" si="54"/>
        <v>ОГБУЗ "Медико-санитарная часть № 2"</v>
      </c>
      <c r="D167" s="58">
        <v>140</v>
      </c>
      <c r="E167" s="170">
        <v>140</v>
      </c>
      <c r="F167" s="131"/>
      <c r="G167" s="153"/>
      <c r="H167" s="154" t="s">
        <v>188</v>
      </c>
      <c r="I167" s="155">
        <f>ROUND(I159+I160+I161+I162+I163+I164+I165+I166,0)</f>
        <v>12849</v>
      </c>
      <c r="J167" s="155">
        <f>ROUND(J159+J160+J161+J162+J163+J164+J165+J166,0)</f>
        <v>12826</v>
      </c>
      <c r="K167" s="155">
        <f>ROUND(K159+K160+K161+K162+K163+K164+K165+K166,0)</f>
        <v>23</v>
      </c>
      <c r="L167" s="156">
        <f>ROUND(L159+L160+L161+L162+L163+L164+L165+L166,1)</f>
        <v>797841.9</v>
      </c>
      <c r="M167" s="156">
        <f>ROUND(M159+M160+M161+M162+M163+M164+M165+M166,1)</f>
        <v>794418</v>
      </c>
      <c r="N167" s="156">
        <f>ROUND(N159+N160+N161+N162+N163+N164+N165+N166,1)</f>
        <v>3423.9</v>
      </c>
    </row>
    <row r="168" spans="1:14" s="54" customFormat="1" ht="19.5" customHeight="1" x14ac:dyDescent="0.25">
      <c r="A168" s="124" t="e">
        <f t="shared" si="47"/>
        <v>#REF!</v>
      </c>
      <c r="C168" s="56" t="str">
        <f t="shared" si="54"/>
        <v xml:space="preserve">ОГАУЗ "МСЧ "Строитель" </v>
      </c>
      <c r="D168" s="58"/>
      <c r="E168" s="170">
        <v>49</v>
      </c>
      <c r="F168" s="131">
        <v>49</v>
      </c>
      <c r="G168" s="433" t="s">
        <v>100</v>
      </c>
      <c r="H168" s="434"/>
      <c r="I168" s="142"/>
      <c r="J168" s="142"/>
      <c r="K168" s="144"/>
      <c r="L168" s="149"/>
      <c r="M168" s="149"/>
      <c r="N168" s="149"/>
    </row>
    <row r="169" spans="1:14" s="54" customFormat="1" ht="15.75" x14ac:dyDescent="0.25">
      <c r="A169" s="124" t="e">
        <f>#REF!</f>
        <v>#REF!</v>
      </c>
      <c r="B169" s="247"/>
      <c r="C169" s="56" t="str">
        <f t="shared" si="54"/>
        <v xml:space="preserve">ОГАУЗ "МСЧ "Строитель" </v>
      </c>
      <c r="D169" s="58"/>
      <c r="E169" s="170">
        <v>49</v>
      </c>
      <c r="F169" s="131"/>
      <c r="G169" s="132"/>
      <c r="H169" s="133" t="s">
        <v>201</v>
      </c>
      <c r="I169" s="142">
        <f t="shared" ref="I169:I170" si="58">J169+K169</f>
        <v>700</v>
      </c>
      <c r="J169" s="142">
        <v>700</v>
      </c>
      <c r="K169" s="144"/>
      <c r="L169" s="149">
        <f t="shared" ref="L169:L170" si="59">M169+N169</f>
        <v>47862.100000000006</v>
      </c>
      <c r="M169" s="149">
        <f>49251.3-1389.2</f>
        <v>47862.100000000006</v>
      </c>
      <c r="N169" s="149"/>
    </row>
    <row r="170" spans="1:14" s="54" customFormat="1" ht="15.75" x14ac:dyDescent="0.25">
      <c r="A170" s="124" t="e">
        <f t="shared" si="47"/>
        <v>#REF!</v>
      </c>
      <c r="B170" s="62"/>
      <c r="C170" s="56" t="str">
        <f t="shared" si="54"/>
        <v xml:space="preserve">ОГАУЗ "МСЧ "Строитель" </v>
      </c>
      <c r="D170" s="58"/>
      <c r="E170" s="170">
        <v>49</v>
      </c>
      <c r="F170" s="131"/>
      <c r="G170" s="132"/>
      <c r="H170" s="133" t="s">
        <v>5</v>
      </c>
      <c r="I170" s="142">
        <f t="shared" si="58"/>
        <v>580</v>
      </c>
      <c r="J170" s="142">
        <v>450</v>
      </c>
      <c r="K170" s="144">
        <v>130</v>
      </c>
      <c r="L170" s="149">
        <f t="shared" si="59"/>
        <v>61445.200000000004</v>
      </c>
      <c r="M170" s="149">
        <f>27844.2+1389.2</f>
        <v>29233.4</v>
      </c>
      <c r="N170" s="149">
        <f>31644.7+340.7+226.4</f>
        <v>32211.800000000003</v>
      </c>
    </row>
    <row r="171" spans="1:14" s="54" customFormat="1" ht="18.75" customHeight="1" x14ac:dyDescent="0.25">
      <c r="A171" s="124" t="e">
        <f t="shared" si="47"/>
        <v>#REF!</v>
      </c>
      <c r="C171" s="56" t="str">
        <f t="shared" si="54"/>
        <v xml:space="preserve">ОГАУЗ "МСЧ "Строитель" </v>
      </c>
      <c r="D171" s="58">
        <v>49</v>
      </c>
      <c r="E171" s="170">
        <v>49</v>
      </c>
      <c r="F171" s="131"/>
      <c r="G171" s="157"/>
      <c r="H171" s="179" t="s">
        <v>188</v>
      </c>
      <c r="I171" s="155">
        <f>ROUND(I168+I169+I170,1)</f>
        <v>1280</v>
      </c>
      <c r="J171" s="155">
        <f>ROUND(J168+J169+J170,1)</f>
        <v>1150</v>
      </c>
      <c r="K171" s="155">
        <f t="shared" ref="K171:N171" si="60">ROUND(K168+K169+K170,1)</f>
        <v>130</v>
      </c>
      <c r="L171" s="156">
        <f t="shared" si="60"/>
        <v>109307.3</v>
      </c>
      <c r="M171" s="156">
        <f t="shared" si="60"/>
        <v>77095.5</v>
      </c>
      <c r="N171" s="156">
        <f t="shared" si="60"/>
        <v>32211.8</v>
      </c>
    </row>
    <row r="172" spans="1:14" s="54" customFormat="1" ht="28.5" customHeight="1" x14ac:dyDescent="0.25">
      <c r="A172" s="124"/>
      <c r="C172" s="56"/>
      <c r="D172" s="58"/>
      <c r="E172" s="170"/>
      <c r="F172" s="137">
        <v>292</v>
      </c>
      <c r="G172" s="433" t="s">
        <v>22</v>
      </c>
      <c r="H172" s="434"/>
      <c r="I172" s="143"/>
      <c r="J172" s="143"/>
      <c r="K172" s="143"/>
      <c r="L172" s="148"/>
      <c r="M172" s="148"/>
      <c r="N172" s="148"/>
    </row>
    <row r="173" spans="1:14" s="54" customFormat="1" ht="99.75" customHeight="1" x14ac:dyDescent="0.25">
      <c r="A173" s="124" t="e">
        <f>A171</f>
        <v>#REF!</v>
      </c>
      <c r="C173" s="56" t="str">
        <f t="shared" ref="C173:C178" si="61">VLOOKUP(E173,$F$12:$G$336,2,0)</f>
        <v>ОГАУЗ "ОПЦ им. И.Д.Евтушенко"</v>
      </c>
      <c r="D173" s="58"/>
      <c r="E173" s="170">
        <v>292</v>
      </c>
      <c r="F173" s="137"/>
      <c r="G173" s="134"/>
      <c r="H173" s="135" t="s">
        <v>479</v>
      </c>
      <c r="I173" s="142">
        <f t="shared" ref="I173:I177" si="62">J173+K173</f>
        <v>4105</v>
      </c>
      <c r="J173" s="142">
        <v>4105</v>
      </c>
      <c r="K173" s="144">
        <f>10-10</f>
        <v>0</v>
      </c>
      <c r="L173" s="149">
        <f t="shared" ref="L173:L177" si="63">M173+N173</f>
        <v>331339.8</v>
      </c>
      <c r="M173" s="149">
        <v>331339.8</v>
      </c>
      <c r="N173" s="149">
        <f>1889.6-1889.6</f>
        <v>0</v>
      </c>
    </row>
    <row r="174" spans="1:14" s="54" customFormat="1" ht="30" x14ac:dyDescent="0.25">
      <c r="A174" s="124" t="e">
        <f t="shared" si="47"/>
        <v>#REF!</v>
      </c>
      <c r="C174" s="56" t="str">
        <f t="shared" si="61"/>
        <v>ОГАУЗ "ОПЦ им. И.Д.Евтушенко"</v>
      </c>
      <c r="D174" s="58"/>
      <c r="E174" s="170">
        <v>292</v>
      </c>
      <c r="F174" s="137"/>
      <c r="G174" s="132"/>
      <c r="H174" s="140" t="s">
        <v>187</v>
      </c>
      <c r="I174" s="142">
        <f t="shared" si="62"/>
        <v>2550</v>
      </c>
      <c r="J174" s="142">
        <v>2550</v>
      </c>
      <c r="K174" s="142"/>
      <c r="L174" s="149">
        <f t="shared" si="63"/>
        <v>176124.7</v>
      </c>
      <c r="M174" s="149">
        <v>176124.7</v>
      </c>
      <c r="N174" s="149"/>
    </row>
    <row r="175" spans="1:14" s="54" customFormat="1" ht="30" x14ac:dyDescent="0.25">
      <c r="A175" s="124" t="e">
        <f t="shared" si="47"/>
        <v>#REF!</v>
      </c>
      <c r="C175" s="56" t="str">
        <f t="shared" si="61"/>
        <v>ОГАУЗ "ОПЦ им. И.Д.Евтушенко"</v>
      </c>
      <c r="D175" s="58"/>
      <c r="E175" s="170">
        <v>292</v>
      </c>
      <c r="F175" s="137"/>
      <c r="G175" s="132"/>
      <c r="H175" s="140" t="s">
        <v>374</v>
      </c>
      <c r="I175" s="142">
        <f t="shared" si="62"/>
        <v>1500</v>
      </c>
      <c r="J175" s="142">
        <v>1500</v>
      </c>
      <c r="K175" s="142"/>
      <c r="L175" s="149">
        <f t="shared" si="63"/>
        <v>147747.70000000001</v>
      </c>
      <c r="M175" s="149">
        <v>147747.70000000001</v>
      </c>
      <c r="N175" s="149"/>
    </row>
    <row r="176" spans="1:14" s="54" customFormat="1" ht="15.75" x14ac:dyDescent="0.25">
      <c r="A176" s="124" t="e">
        <f t="shared" si="47"/>
        <v>#REF!</v>
      </c>
      <c r="B176" s="247"/>
      <c r="C176" s="56" t="str">
        <f t="shared" si="61"/>
        <v>ОГАУЗ "ОПЦ им. И.Д.Евтушенко"</v>
      </c>
      <c r="D176" s="58"/>
      <c r="E176" s="170">
        <v>292</v>
      </c>
      <c r="F176" s="137"/>
      <c r="G176" s="132"/>
      <c r="H176" s="133" t="s">
        <v>57</v>
      </c>
      <c r="I176" s="142">
        <f t="shared" si="62"/>
        <v>1</v>
      </c>
      <c r="J176" s="142">
        <v>1</v>
      </c>
      <c r="K176" s="142"/>
      <c r="L176" s="149">
        <f t="shared" si="63"/>
        <v>106.2</v>
      </c>
      <c r="M176" s="149">
        <v>106.2</v>
      </c>
      <c r="N176" s="149"/>
    </row>
    <row r="177" spans="1:14" s="54" customFormat="1" ht="19.5" customHeight="1" x14ac:dyDescent="0.25">
      <c r="A177" s="124" t="e">
        <f t="shared" si="47"/>
        <v>#REF!</v>
      </c>
      <c r="B177" s="62"/>
      <c r="C177" s="56" t="str">
        <f t="shared" si="61"/>
        <v>ОГАУЗ "ОПЦ им. И.Д.Евтушенко"</v>
      </c>
      <c r="D177" s="58"/>
      <c r="E177" s="170">
        <v>292</v>
      </c>
      <c r="F177" s="137"/>
      <c r="G177" s="132"/>
      <c r="H177" s="133" t="s">
        <v>189</v>
      </c>
      <c r="I177" s="142">
        <f t="shared" si="62"/>
        <v>834</v>
      </c>
      <c r="J177" s="142">
        <f>819+10</f>
        <v>829</v>
      </c>
      <c r="K177" s="142">
        <v>5</v>
      </c>
      <c r="L177" s="149">
        <f t="shared" si="63"/>
        <v>269134.3</v>
      </c>
      <c r="M177" s="149">
        <v>265451.59999999998</v>
      </c>
      <c r="N177" s="149">
        <f>3682.7</f>
        <v>3682.7</v>
      </c>
    </row>
    <row r="178" spans="1:14" s="54" customFormat="1" ht="15.75" x14ac:dyDescent="0.25">
      <c r="A178" s="124" t="e">
        <f t="shared" si="47"/>
        <v>#REF!</v>
      </c>
      <c r="C178" s="56" t="str">
        <f t="shared" si="61"/>
        <v>ОГАУЗ "ОПЦ им. И.Д.Евтушенко"</v>
      </c>
      <c r="D178" s="58">
        <v>292</v>
      </c>
      <c r="E178" s="170">
        <v>292</v>
      </c>
      <c r="F178" s="137"/>
      <c r="G178" s="183"/>
      <c r="H178" s="154" t="s">
        <v>188</v>
      </c>
      <c r="I178" s="155">
        <f>ROUND(I173+I176+I177,0)</f>
        <v>4940</v>
      </c>
      <c r="J178" s="155">
        <f>ROUND(J173+J176+J177,0)</f>
        <v>4935</v>
      </c>
      <c r="K178" s="155">
        <f>ROUND(K173+K176+K177,0)</f>
        <v>5</v>
      </c>
      <c r="L178" s="156">
        <f t="shared" ref="L178:N178" si="64">ROUND(L173+L176+L177,1)</f>
        <v>600580.30000000005</v>
      </c>
      <c r="M178" s="156">
        <f t="shared" si="64"/>
        <v>596897.6</v>
      </c>
      <c r="N178" s="156">
        <f t="shared" si="64"/>
        <v>3682.7</v>
      </c>
    </row>
    <row r="179" spans="1:14" s="54" customFormat="1" ht="15.75" x14ac:dyDescent="0.25">
      <c r="A179" s="124"/>
      <c r="C179" s="56"/>
      <c r="D179" s="58"/>
      <c r="E179" s="170"/>
      <c r="F179" s="137">
        <v>146</v>
      </c>
      <c r="G179" s="433" t="s">
        <v>102</v>
      </c>
      <c r="H179" s="434"/>
      <c r="I179" s="143"/>
      <c r="J179" s="143"/>
      <c r="K179" s="143"/>
      <c r="L179" s="148"/>
      <c r="M179" s="148"/>
      <c r="N179" s="148"/>
    </row>
    <row r="180" spans="1:14" s="54" customFormat="1" ht="15.75" x14ac:dyDescent="0.25">
      <c r="A180" s="124" t="e">
        <f>A178</f>
        <v>#REF!</v>
      </c>
      <c r="C180" s="56" t="str">
        <f t="shared" ref="C180:C187" si="65">VLOOKUP(E180,$F$12:$G$336,2,0)</f>
        <v xml:space="preserve">ОГАУЗ "ОДБ" </v>
      </c>
      <c r="D180" s="58"/>
      <c r="E180" s="170">
        <v>146</v>
      </c>
      <c r="F180" s="137"/>
      <c r="G180" s="152"/>
      <c r="H180" s="122" t="s">
        <v>21</v>
      </c>
      <c r="I180" s="142">
        <f t="shared" ref="I180:I186" si="66">J180+K180</f>
        <v>550</v>
      </c>
      <c r="J180" s="142">
        <v>550</v>
      </c>
      <c r="K180" s="142"/>
      <c r="L180" s="149">
        <f t="shared" ref="L180:L186" si="67">M180+N180</f>
        <v>29890.7</v>
      </c>
      <c r="M180" s="149">
        <v>29890.7</v>
      </c>
      <c r="N180" s="149"/>
    </row>
    <row r="181" spans="1:14" s="54" customFormat="1" ht="15.75" x14ac:dyDescent="0.25">
      <c r="A181" s="124" t="e">
        <f t="shared" si="47"/>
        <v>#REF!</v>
      </c>
      <c r="B181" s="247"/>
      <c r="C181" s="56" t="str">
        <f t="shared" si="65"/>
        <v xml:space="preserve">ОГАУЗ "ОДБ" </v>
      </c>
      <c r="D181" s="58"/>
      <c r="E181" s="170">
        <v>146</v>
      </c>
      <c r="F181" s="137"/>
      <c r="G181" s="151"/>
      <c r="H181" s="122" t="s">
        <v>197</v>
      </c>
      <c r="I181" s="142">
        <f t="shared" si="66"/>
        <v>570</v>
      </c>
      <c r="J181" s="142">
        <v>570</v>
      </c>
      <c r="K181" s="142"/>
      <c r="L181" s="149">
        <f t="shared" si="67"/>
        <v>28943.200000000001</v>
      </c>
      <c r="M181" s="149">
        <v>28943.200000000001</v>
      </c>
      <c r="N181" s="149"/>
    </row>
    <row r="182" spans="1:14" s="54" customFormat="1" ht="21.75" customHeight="1" x14ac:dyDescent="0.25">
      <c r="A182" s="124" t="e">
        <f t="shared" si="47"/>
        <v>#REF!</v>
      </c>
      <c r="B182" s="62"/>
      <c r="C182" s="56" t="str">
        <f t="shared" si="65"/>
        <v xml:space="preserve">ОГАУЗ "ОДБ" </v>
      </c>
      <c r="D182" s="58"/>
      <c r="E182" s="170">
        <v>146</v>
      </c>
      <c r="F182" s="137"/>
      <c r="G182" s="132"/>
      <c r="H182" s="133" t="s">
        <v>208</v>
      </c>
      <c r="I182" s="142">
        <f t="shared" si="66"/>
        <v>263</v>
      </c>
      <c r="J182" s="142">
        <v>263</v>
      </c>
      <c r="K182" s="142"/>
      <c r="L182" s="149">
        <f t="shared" si="67"/>
        <v>31963.599999999999</v>
      </c>
      <c r="M182" s="149">
        <v>31963.599999999999</v>
      </c>
      <c r="N182" s="149"/>
    </row>
    <row r="183" spans="1:14" s="54" customFormat="1" ht="15.75" x14ac:dyDescent="0.25">
      <c r="A183" s="124" t="e">
        <f t="shared" si="47"/>
        <v>#REF!</v>
      </c>
      <c r="C183" s="56" t="str">
        <f t="shared" si="65"/>
        <v xml:space="preserve">ОГАУЗ "ОДБ" </v>
      </c>
      <c r="D183" s="58"/>
      <c r="E183" s="170">
        <v>146</v>
      </c>
      <c r="F183" s="137"/>
      <c r="G183" s="132"/>
      <c r="H183" s="133" t="s">
        <v>9</v>
      </c>
      <c r="I183" s="142">
        <f t="shared" si="66"/>
        <v>115</v>
      </c>
      <c r="J183" s="142">
        <v>115</v>
      </c>
      <c r="K183" s="142"/>
      <c r="L183" s="149">
        <f t="shared" si="67"/>
        <v>4822.3999999999996</v>
      </c>
      <c r="M183" s="149">
        <v>4822.3999999999996</v>
      </c>
      <c r="N183" s="149"/>
    </row>
    <row r="184" spans="1:14" s="54" customFormat="1" ht="15.75" x14ac:dyDescent="0.25">
      <c r="A184" s="124" t="e">
        <f t="shared" si="47"/>
        <v>#REF!</v>
      </c>
      <c r="C184" s="56" t="str">
        <f t="shared" si="65"/>
        <v xml:space="preserve">ОГАУЗ "ОДБ" </v>
      </c>
      <c r="D184" s="58"/>
      <c r="E184" s="170">
        <v>146</v>
      </c>
      <c r="F184" s="137"/>
      <c r="G184" s="132"/>
      <c r="H184" s="133" t="s">
        <v>7</v>
      </c>
      <c r="I184" s="142">
        <f t="shared" si="66"/>
        <v>197</v>
      </c>
      <c r="J184" s="142">
        <f>152-10</f>
        <v>142</v>
      </c>
      <c r="K184" s="142">
        <f>45+10</f>
        <v>55</v>
      </c>
      <c r="L184" s="149">
        <f t="shared" si="67"/>
        <v>18660.699999999997</v>
      </c>
      <c r="M184" s="149">
        <f>10237.3-1810.5</f>
        <v>8426.7999999999993</v>
      </c>
      <c r="N184" s="149">
        <f>9534.6-1111.2+1810.5</f>
        <v>10233.9</v>
      </c>
    </row>
    <row r="185" spans="1:14" s="54" customFormat="1" ht="15.75" x14ac:dyDescent="0.25">
      <c r="A185" s="124" t="e">
        <f t="shared" si="47"/>
        <v>#REF!</v>
      </c>
      <c r="C185" s="56" t="str">
        <f t="shared" si="65"/>
        <v xml:space="preserve">ОГАУЗ "ОДБ" </v>
      </c>
      <c r="D185" s="58"/>
      <c r="E185" s="170">
        <v>146</v>
      </c>
      <c r="F185" s="137"/>
      <c r="G185" s="132"/>
      <c r="H185" s="133" t="s">
        <v>12</v>
      </c>
      <c r="I185" s="142">
        <f t="shared" si="66"/>
        <v>32</v>
      </c>
      <c r="J185" s="142">
        <v>32</v>
      </c>
      <c r="K185" s="142"/>
      <c r="L185" s="149">
        <f t="shared" si="67"/>
        <v>2197.5</v>
      </c>
      <c r="M185" s="149">
        <v>2197.5</v>
      </c>
      <c r="N185" s="149"/>
    </row>
    <row r="186" spans="1:14" s="54" customFormat="1" ht="15.75" x14ac:dyDescent="0.25">
      <c r="A186" s="124" t="e">
        <f t="shared" si="47"/>
        <v>#REF!</v>
      </c>
      <c r="C186" s="56" t="str">
        <f t="shared" si="65"/>
        <v xml:space="preserve">ОГАУЗ "ОДБ" </v>
      </c>
      <c r="D186" s="58"/>
      <c r="E186" s="170">
        <v>146</v>
      </c>
      <c r="F186" s="137"/>
      <c r="G186" s="132"/>
      <c r="H186" s="133" t="s">
        <v>209</v>
      </c>
      <c r="I186" s="142">
        <f t="shared" si="66"/>
        <v>162</v>
      </c>
      <c r="J186" s="142">
        <v>162</v>
      </c>
      <c r="K186" s="142"/>
      <c r="L186" s="149">
        <f t="shared" si="67"/>
        <v>13058.3</v>
      </c>
      <c r="M186" s="149">
        <v>13058.3</v>
      </c>
      <c r="N186" s="149"/>
    </row>
    <row r="187" spans="1:14" s="54" customFormat="1" ht="15.75" x14ac:dyDescent="0.25">
      <c r="A187" s="124" t="e">
        <f t="shared" si="47"/>
        <v>#REF!</v>
      </c>
      <c r="C187" s="56" t="str">
        <f t="shared" si="65"/>
        <v xml:space="preserve">ОГАУЗ "ОДБ" </v>
      </c>
      <c r="D187" s="58">
        <v>146</v>
      </c>
      <c r="E187" s="170">
        <v>146</v>
      </c>
      <c r="F187" s="137"/>
      <c r="G187" s="157"/>
      <c r="H187" s="179" t="s">
        <v>188</v>
      </c>
      <c r="I187" s="155">
        <f>ROUND(I180+I181+I182+I183+I184+I185+I186,0)</f>
        <v>1889</v>
      </c>
      <c r="J187" s="155">
        <f>ROUND(J180+J181+J182+J183+J184+J185+J186,0)</f>
        <v>1834</v>
      </c>
      <c r="K187" s="155">
        <f>ROUND(K180+K181+K182+K183+K184+K185+K186,0)</f>
        <v>55</v>
      </c>
      <c r="L187" s="156">
        <f t="shared" ref="L187:N187" si="68">ROUND(L180+L181+L182+L183+L184+L185+L186,1)</f>
        <v>129536.4</v>
      </c>
      <c r="M187" s="156">
        <f t="shared" si="68"/>
        <v>119302.5</v>
      </c>
      <c r="N187" s="156">
        <f t="shared" si="68"/>
        <v>10233.9</v>
      </c>
    </row>
    <row r="188" spans="1:14" s="54" customFormat="1" ht="28.5" customHeight="1" x14ac:dyDescent="0.25">
      <c r="A188" s="124"/>
      <c r="C188" s="56"/>
      <c r="D188" s="58"/>
      <c r="E188" s="170"/>
      <c r="F188" s="137">
        <v>203</v>
      </c>
      <c r="G188" s="433" t="s">
        <v>103</v>
      </c>
      <c r="H188" s="434"/>
      <c r="I188" s="143"/>
      <c r="J188" s="143"/>
      <c r="K188" s="143"/>
      <c r="L188" s="148"/>
      <c r="M188" s="148"/>
      <c r="N188" s="148"/>
    </row>
    <row r="189" spans="1:14" s="54" customFormat="1" ht="90" x14ac:dyDescent="0.25">
      <c r="A189" s="124" t="e">
        <f>A187</f>
        <v>#REF!</v>
      </c>
      <c r="B189" s="247"/>
      <c r="C189" s="56" t="str">
        <f t="shared" ref="C189:C197" si="69">VLOOKUP(E189,$F$12:$G$336,2,0)</f>
        <v xml:space="preserve">ОГБУЗ "Парабельская РБ" </v>
      </c>
      <c r="D189" s="58"/>
      <c r="E189" s="170">
        <v>203</v>
      </c>
      <c r="F189" s="137"/>
      <c r="G189" s="134"/>
      <c r="H189" s="135" t="s">
        <v>479</v>
      </c>
      <c r="I189" s="142">
        <f t="shared" ref="I189:I196" si="70">J189+K189</f>
        <v>165</v>
      </c>
      <c r="J189" s="142">
        <v>165</v>
      </c>
      <c r="K189" s="144"/>
      <c r="L189" s="149">
        <f t="shared" ref="L189:L196" si="71">M189+N189</f>
        <v>7557.6</v>
      </c>
      <c r="M189" s="149">
        <v>7557.6</v>
      </c>
      <c r="N189" s="149"/>
    </row>
    <row r="190" spans="1:14" s="54" customFormat="1" ht="30" x14ac:dyDescent="0.25">
      <c r="A190" s="124" t="e">
        <f t="shared" si="47"/>
        <v>#REF!</v>
      </c>
      <c r="B190" s="62"/>
      <c r="C190" s="56" t="str">
        <f t="shared" si="69"/>
        <v xml:space="preserve">ОГБУЗ "Парабельская РБ" </v>
      </c>
      <c r="D190" s="58"/>
      <c r="E190" s="170">
        <v>203</v>
      </c>
      <c r="F190" s="137"/>
      <c r="G190" s="132"/>
      <c r="H190" s="140" t="s">
        <v>187</v>
      </c>
      <c r="I190" s="142">
        <f t="shared" si="70"/>
        <v>5</v>
      </c>
      <c r="J190" s="142">
        <v>5</v>
      </c>
      <c r="K190" s="144"/>
      <c r="L190" s="149">
        <f t="shared" si="71"/>
        <v>412.3</v>
      </c>
      <c r="M190" s="149">
        <v>412.3</v>
      </c>
      <c r="N190" s="149"/>
    </row>
    <row r="191" spans="1:14" s="54" customFormat="1" ht="30" x14ac:dyDescent="0.25">
      <c r="A191" s="124" t="e">
        <f t="shared" si="47"/>
        <v>#REF!</v>
      </c>
      <c r="C191" s="56" t="str">
        <f t="shared" si="69"/>
        <v xml:space="preserve">ОГБУЗ "Парабельская РБ" </v>
      </c>
      <c r="D191" s="58"/>
      <c r="E191" s="170">
        <v>203</v>
      </c>
      <c r="F191" s="137"/>
      <c r="G191" s="132"/>
      <c r="H191" s="140" t="s">
        <v>374</v>
      </c>
      <c r="I191" s="142">
        <f t="shared" si="70"/>
        <v>20</v>
      </c>
      <c r="J191" s="142">
        <v>20</v>
      </c>
      <c r="K191" s="144"/>
      <c r="L191" s="149">
        <f t="shared" si="71"/>
        <v>1339.1</v>
      </c>
      <c r="M191" s="149">
        <v>1339.1</v>
      </c>
      <c r="N191" s="149"/>
    </row>
    <row r="192" spans="1:14" s="54" customFormat="1" ht="15.75" x14ac:dyDescent="0.25">
      <c r="A192" s="124" t="e">
        <f t="shared" si="47"/>
        <v>#REF!</v>
      </c>
      <c r="C192" s="56" t="str">
        <f t="shared" si="69"/>
        <v xml:space="preserve">ОГБУЗ "Парабельская РБ" </v>
      </c>
      <c r="D192" s="58"/>
      <c r="E192" s="170">
        <v>203</v>
      </c>
      <c r="F192" s="137"/>
      <c r="G192" s="132"/>
      <c r="H192" s="133" t="s">
        <v>6</v>
      </c>
      <c r="I192" s="142">
        <f t="shared" si="70"/>
        <v>161</v>
      </c>
      <c r="J192" s="142">
        <v>161</v>
      </c>
      <c r="K192" s="144"/>
      <c r="L192" s="149">
        <f t="shared" si="71"/>
        <v>13764.8</v>
      </c>
      <c r="M192" s="149">
        <v>13764.8</v>
      </c>
      <c r="N192" s="149"/>
    </row>
    <row r="193" spans="1:14" s="54" customFormat="1" ht="15.75" x14ac:dyDescent="0.25">
      <c r="A193" s="124" t="e">
        <f t="shared" si="47"/>
        <v>#REF!</v>
      </c>
      <c r="C193" s="56" t="str">
        <f t="shared" si="69"/>
        <v xml:space="preserve">ОГБУЗ "Парабельская РБ" </v>
      </c>
      <c r="D193" s="58"/>
      <c r="E193" s="170">
        <v>203</v>
      </c>
      <c r="F193" s="137"/>
      <c r="G193" s="132"/>
      <c r="H193" s="133" t="s">
        <v>9</v>
      </c>
      <c r="I193" s="142">
        <f t="shared" si="70"/>
        <v>114</v>
      </c>
      <c r="J193" s="142">
        <v>114</v>
      </c>
      <c r="K193" s="144"/>
      <c r="L193" s="149">
        <f t="shared" si="71"/>
        <v>7044.3</v>
      </c>
      <c r="M193" s="149">
        <v>7044.3</v>
      </c>
      <c r="N193" s="149"/>
    </row>
    <row r="194" spans="1:14" s="54" customFormat="1" ht="15.75" x14ac:dyDescent="0.25">
      <c r="A194" s="124" t="e">
        <f t="shared" si="47"/>
        <v>#REF!</v>
      </c>
      <c r="C194" s="56" t="str">
        <f t="shared" si="69"/>
        <v xml:space="preserve">ОГБУЗ "Парабельская РБ" </v>
      </c>
      <c r="D194" s="58"/>
      <c r="E194" s="170">
        <v>203</v>
      </c>
      <c r="F194" s="137"/>
      <c r="G194" s="132"/>
      <c r="H194" s="133" t="s">
        <v>7</v>
      </c>
      <c r="I194" s="142">
        <f t="shared" si="70"/>
        <v>160</v>
      </c>
      <c r="J194" s="142">
        <v>160</v>
      </c>
      <c r="K194" s="144"/>
      <c r="L194" s="149">
        <f t="shared" si="71"/>
        <v>11881.1</v>
      </c>
      <c r="M194" s="149">
        <v>11881.1</v>
      </c>
      <c r="N194" s="149"/>
    </row>
    <row r="195" spans="1:14" s="54" customFormat="1" ht="13.5" customHeight="1" x14ac:dyDescent="0.25">
      <c r="A195" s="124" t="e">
        <f t="shared" ref="A195:A258" si="72">A194</f>
        <v>#REF!</v>
      </c>
      <c r="C195" s="56" t="str">
        <f t="shared" si="69"/>
        <v xml:space="preserve">ОГБУЗ "Парабельская РБ" </v>
      </c>
      <c r="D195" s="58"/>
      <c r="E195" s="170">
        <v>203</v>
      </c>
      <c r="F195" s="137"/>
      <c r="G195" s="132"/>
      <c r="H195" s="133" t="s">
        <v>8</v>
      </c>
      <c r="I195" s="142">
        <f t="shared" si="70"/>
        <v>406</v>
      </c>
      <c r="J195" s="142">
        <v>406</v>
      </c>
      <c r="K195" s="144"/>
      <c r="L195" s="149">
        <f t="shared" si="71"/>
        <v>26803.4</v>
      </c>
      <c r="M195" s="149">
        <v>26803.4</v>
      </c>
      <c r="N195" s="149"/>
    </row>
    <row r="196" spans="1:14" s="54" customFormat="1" ht="15.75" x14ac:dyDescent="0.25">
      <c r="A196" s="124" t="e">
        <f t="shared" si="72"/>
        <v>#REF!</v>
      </c>
      <c r="C196" s="56" t="str">
        <f t="shared" si="69"/>
        <v xml:space="preserve">ОГБУЗ "Парабельская РБ" </v>
      </c>
      <c r="D196" s="58"/>
      <c r="E196" s="170">
        <v>203</v>
      </c>
      <c r="F196" s="137"/>
      <c r="G196" s="132"/>
      <c r="H196" s="133" t="s">
        <v>4</v>
      </c>
      <c r="I196" s="142">
        <f t="shared" si="70"/>
        <v>420</v>
      </c>
      <c r="J196" s="142">
        <v>420</v>
      </c>
      <c r="K196" s="144"/>
      <c r="L196" s="149">
        <f t="shared" si="71"/>
        <v>30131.300000000003</v>
      </c>
      <c r="M196" s="149">
        <v>30131.300000000003</v>
      </c>
      <c r="N196" s="149"/>
    </row>
    <row r="197" spans="1:14" s="54" customFormat="1" ht="15.75" x14ac:dyDescent="0.25">
      <c r="A197" s="124" t="e">
        <f t="shared" si="72"/>
        <v>#REF!</v>
      </c>
      <c r="C197" s="56" t="str">
        <f t="shared" si="69"/>
        <v xml:space="preserve">ОГБУЗ "Парабельская РБ" </v>
      </c>
      <c r="D197" s="58">
        <v>203</v>
      </c>
      <c r="E197" s="170">
        <v>203</v>
      </c>
      <c r="F197" s="137"/>
      <c r="G197" s="157"/>
      <c r="H197" s="179" t="s">
        <v>188</v>
      </c>
      <c r="I197" s="155">
        <f>ROUND(I189+I192+I193+I194+I195+I196,0)</f>
        <v>1426</v>
      </c>
      <c r="J197" s="155">
        <f>ROUND(J189+J192+J193+J194+J195+J196,0)</f>
        <v>1426</v>
      </c>
      <c r="K197" s="155">
        <f>ROUND(K189+K192+K193+K194+K195+K196,0)</f>
        <v>0</v>
      </c>
      <c r="L197" s="156">
        <f t="shared" ref="L197:N197" si="73">ROUND(L189+L192+L193+L194+L195+L196,1)</f>
        <v>97182.5</v>
      </c>
      <c r="M197" s="156">
        <f t="shared" si="73"/>
        <v>97182.5</v>
      </c>
      <c r="N197" s="156">
        <f t="shared" si="73"/>
        <v>0</v>
      </c>
    </row>
    <row r="198" spans="1:14" s="54" customFormat="1" ht="21" customHeight="1" x14ac:dyDescent="0.25">
      <c r="A198" s="124"/>
      <c r="C198" s="56"/>
      <c r="D198" s="58"/>
      <c r="E198" s="170"/>
      <c r="F198" s="137">
        <v>79</v>
      </c>
      <c r="G198" s="433" t="s">
        <v>104</v>
      </c>
      <c r="H198" s="434"/>
      <c r="I198" s="143"/>
      <c r="J198" s="143"/>
      <c r="K198" s="143"/>
      <c r="L198" s="148"/>
      <c r="M198" s="148"/>
      <c r="N198" s="148"/>
    </row>
    <row r="199" spans="1:14" s="54" customFormat="1" ht="90" x14ac:dyDescent="0.25">
      <c r="A199" s="124" t="e">
        <f>A197</f>
        <v>#REF!</v>
      </c>
      <c r="B199" s="247"/>
      <c r="C199" s="56" t="str">
        <f t="shared" ref="C199:C212" si="74">VLOOKUP(E199,$F$12:$G$336,2,0)</f>
        <v xml:space="preserve">ОГБУЗ "Первомайская РБ" </v>
      </c>
      <c r="D199" s="58"/>
      <c r="E199" s="170">
        <v>79</v>
      </c>
      <c r="F199" s="137"/>
      <c r="G199" s="134"/>
      <c r="H199" s="135" t="s">
        <v>479</v>
      </c>
      <c r="I199" s="142">
        <f t="shared" ref="I199:I205" si="75">J199+K199</f>
        <v>313</v>
      </c>
      <c r="J199" s="142">
        <v>313</v>
      </c>
      <c r="K199" s="144"/>
      <c r="L199" s="149">
        <f t="shared" ref="L199:L205" si="76">M199+N199</f>
        <v>8637.5</v>
      </c>
      <c r="M199" s="149">
        <v>8637.5</v>
      </c>
      <c r="N199" s="149"/>
    </row>
    <row r="200" spans="1:14" s="54" customFormat="1" ht="30" x14ac:dyDescent="0.25">
      <c r="A200" s="124" t="e">
        <f>#REF!</f>
        <v>#REF!</v>
      </c>
      <c r="C200" s="56" t="str">
        <f t="shared" si="74"/>
        <v xml:space="preserve">ОГБУЗ "Первомайская РБ" </v>
      </c>
      <c r="D200" s="58"/>
      <c r="E200" s="170">
        <v>79</v>
      </c>
      <c r="F200" s="137"/>
      <c r="G200" s="132"/>
      <c r="H200" s="140" t="s">
        <v>374</v>
      </c>
      <c r="I200" s="142">
        <f t="shared" si="75"/>
        <v>22</v>
      </c>
      <c r="J200" s="142">
        <v>22</v>
      </c>
      <c r="K200" s="144"/>
      <c r="L200" s="149">
        <f t="shared" si="76"/>
        <v>2187</v>
      </c>
      <c r="M200" s="149">
        <v>2187</v>
      </c>
      <c r="N200" s="149"/>
    </row>
    <row r="201" spans="1:14" s="54" customFormat="1" ht="15.75" x14ac:dyDescent="0.25">
      <c r="A201" s="124" t="e">
        <f t="shared" si="72"/>
        <v>#REF!</v>
      </c>
      <c r="C201" s="56" t="str">
        <f t="shared" si="74"/>
        <v xml:space="preserve">ОГБУЗ "Первомайская РБ" </v>
      </c>
      <c r="D201" s="58"/>
      <c r="E201" s="170">
        <v>79</v>
      </c>
      <c r="F201" s="137"/>
      <c r="G201" s="132"/>
      <c r="H201" s="133" t="s">
        <v>6</v>
      </c>
      <c r="I201" s="142">
        <f t="shared" si="75"/>
        <v>208</v>
      </c>
      <c r="J201" s="142">
        <v>208</v>
      </c>
      <c r="K201" s="144"/>
      <c r="L201" s="149">
        <f t="shared" si="76"/>
        <v>15487.2</v>
      </c>
      <c r="M201" s="149">
        <v>15487.2</v>
      </c>
      <c r="N201" s="149"/>
    </row>
    <row r="202" spans="1:14" s="54" customFormat="1" ht="15.75" x14ac:dyDescent="0.25">
      <c r="A202" s="124" t="e">
        <f t="shared" si="72"/>
        <v>#REF!</v>
      </c>
      <c r="C202" s="56" t="str">
        <f t="shared" si="74"/>
        <v xml:space="preserve">ОГБУЗ "Первомайская РБ" </v>
      </c>
      <c r="D202" s="58"/>
      <c r="E202" s="170">
        <v>79</v>
      </c>
      <c r="F202" s="137"/>
      <c r="G202" s="132"/>
      <c r="H202" s="133" t="s">
        <v>7</v>
      </c>
      <c r="I202" s="142">
        <f t="shared" si="75"/>
        <v>339</v>
      </c>
      <c r="J202" s="142">
        <v>339</v>
      </c>
      <c r="K202" s="144"/>
      <c r="L202" s="149">
        <f t="shared" si="76"/>
        <v>19311.400000000001</v>
      </c>
      <c r="M202" s="149">
        <v>19311.400000000001</v>
      </c>
      <c r="N202" s="149"/>
    </row>
    <row r="203" spans="1:14" s="54" customFormat="1" ht="15.75" x14ac:dyDescent="0.25">
      <c r="A203" s="124" t="e">
        <f t="shared" si="72"/>
        <v>#REF!</v>
      </c>
      <c r="C203" s="56" t="str">
        <f t="shared" si="74"/>
        <v xml:space="preserve">ОГБУЗ "Первомайская РБ" </v>
      </c>
      <c r="D203" s="58"/>
      <c r="E203" s="170">
        <v>79</v>
      </c>
      <c r="F203" s="137"/>
      <c r="G203" s="132"/>
      <c r="H203" s="133" t="s">
        <v>8</v>
      </c>
      <c r="I203" s="142">
        <f t="shared" si="75"/>
        <v>920</v>
      </c>
      <c r="J203" s="142">
        <v>920</v>
      </c>
      <c r="K203" s="144"/>
      <c r="L203" s="149">
        <f t="shared" si="76"/>
        <v>40951.300000000003</v>
      </c>
      <c r="M203" s="149">
        <v>40951.300000000003</v>
      </c>
      <c r="N203" s="149"/>
    </row>
    <row r="204" spans="1:14" s="54" customFormat="1" ht="15.75" x14ac:dyDescent="0.25">
      <c r="A204" s="124" t="e">
        <f t="shared" si="72"/>
        <v>#REF!</v>
      </c>
      <c r="C204" s="56" t="str">
        <f t="shared" si="74"/>
        <v xml:space="preserve">ОГБУЗ "Первомайская РБ" </v>
      </c>
      <c r="D204" s="58"/>
      <c r="E204" s="170">
        <v>79</v>
      </c>
      <c r="F204" s="137"/>
      <c r="G204" s="132"/>
      <c r="H204" s="133" t="s">
        <v>5</v>
      </c>
      <c r="I204" s="142">
        <f t="shared" si="75"/>
        <v>3</v>
      </c>
      <c r="J204" s="142">
        <v>3</v>
      </c>
      <c r="K204" s="144"/>
      <c r="L204" s="149">
        <f t="shared" si="76"/>
        <v>255.7</v>
      </c>
      <c r="M204" s="149">
        <v>255.7</v>
      </c>
      <c r="N204" s="149"/>
    </row>
    <row r="205" spans="1:14" s="54" customFormat="1" ht="15.75" x14ac:dyDescent="0.25">
      <c r="A205" s="124" t="e">
        <f t="shared" si="72"/>
        <v>#REF!</v>
      </c>
      <c r="C205" s="56" t="str">
        <f t="shared" si="74"/>
        <v xml:space="preserve">ОГБУЗ "Первомайская РБ" </v>
      </c>
      <c r="D205" s="58"/>
      <c r="E205" s="170">
        <v>79</v>
      </c>
      <c r="F205" s="137"/>
      <c r="G205" s="132"/>
      <c r="H205" s="133" t="s">
        <v>4</v>
      </c>
      <c r="I205" s="142">
        <f t="shared" si="75"/>
        <v>744</v>
      </c>
      <c r="J205" s="142">
        <v>744</v>
      </c>
      <c r="K205" s="144"/>
      <c r="L205" s="149">
        <f t="shared" si="76"/>
        <v>37860.700000000004</v>
      </c>
      <c r="M205" s="149">
        <v>37860.700000000004</v>
      </c>
      <c r="N205" s="149"/>
    </row>
    <row r="206" spans="1:14" s="54" customFormat="1" ht="15.75" x14ac:dyDescent="0.25">
      <c r="A206" s="124" t="e">
        <f t="shared" si="72"/>
        <v>#REF!</v>
      </c>
      <c r="C206" s="56" t="str">
        <f t="shared" si="74"/>
        <v xml:space="preserve">ОГБУЗ "Первомайская РБ" </v>
      </c>
      <c r="D206" s="58">
        <v>79</v>
      </c>
      <c r="E206" s="170">
        <v>79</v>
      </c>
      <c r="F206" s="137"/>
      <c r="G206" s="183"/>
      <c r="H206" s="154" t="s">
        <v>188</v>
      </c>
      <c r="I206" s="155">
        <f>ROUND(I199+I201+I202+I203+I204+I205,0)</f>
        <v>2527</v>
      </c>
      <c r="J206" s="155">
        <f>ROUND(J199+J201+J202+J203+J204+J205,0)</f>
        <v>2527</v>
      </c>
      <c r="K206" s="155">
        <f>ROUND(K199+K201+K202+K203+K204+K205,0)</f>
        <v>0</v>
      </c>
      <c r="L206" s="156">
        <f>ROUND(L199+L201+L202+L203+L204+L205,1)</f>
        <v>122503.8</v>
      </c>
      <c r="M206" s="156">
        <f>ROUND(M199+M201+M202+M203+M204+M205,1)</f>
        <v>122503.8</v>
      </c>
      <c r="N206" s="156">
        <f>ROUND(N199+N201+N202+N203+N204+N205,1)</f>
        <v>0</v>
      </c>
    </row>
    <row r="207" spans="1:14" s="54" customFormat="1" ht="21.75" customHeight="1" x14ac:dyDescent="0.25">
      <c r="A207" s="124" t="e">
        <f t="shared" si="72"/>
        <v>#REF!</v>
      </c>
      <c r="C207" s="56" t="str">
        <f t="shared" si="74"/>
        <v xml:space="preserve">ОГАУЗ "Роддом № 4" </v>
      </c>
      <c r="D207" s="58"/>
      <c r="E207" s="170">
        <v>142</v>
      </c>
      <c r="F207" s="131">
        <v>142</v>
      </c>
      <c r="G207" s="433" t="s">
        <v>113</v>
      </c>
      <c r="H207" s="434"/>
      <c r="I207" s="142"/>
      <c r="J207" s="142"/>
      <c r="K207" s="144"/>
      <c r="L207" s="149"/>
      <c r="M207" s="149"/>
      <c r="N207" s="149"/>
    </row>
    <row r="208" spans="1:14" s="54" customFormat="1" ht="60" x14ac:dyDescent="0.25">
      <c r="A208" s="124" t="e">
        <f t="shared" si="72"/>
        <v>#REF!</v>
      </c>
      <c r="B208" s="247"/>
      <c r="C208" s="56" t="str">
        <f t="shared" si="74"/>
        <v xml:space="preserve">ОГАУЗ "Роддом № 4" </v>
      </c>
      <c r="D208" s="58"/>
      <c r="E208" s="170">
        <v>142</v>
      </c>
      <c r="F208" s="131"/>
      <c r="G208" s="132"/>
      <c r="H208" s="135" t="s">
        <v>480</v>
      </c>
      <c r="I208" s="142">
        <f t="shared" ref="I208:I211" si="77">J208+K208</f>
        <v>6670</v>
      </c>
      <c r="J208" s="142">
        <v>6670</v>
      </c>
      <c r="K208" s="144"/>
      <c r="L208" s="149">
        <f t="shared" ref="L208:L211" si="78">M208+N208</f>
        <v>290994.5</v>
      </c>
      <c r="M208" s="149">
        <v>290994.5</v>
      </c>
      <c r="N208" s="149"/>
    </row>
    <row r="209" spans="1:14" s="54" customFormat="1" ht="21" customHeight="1" x14ac:dyDescent="0.25">
      <c r="A209" s="124" t="e">
        <f t="shared" si="72"/>
        <v>#REF!</v>
      </c>
      <c r="B209" s="62"/>
      <c r="C209" s="56" t="str">
        <f t="shared" si="74"/>
        <v xml:space="preserve">ОГАУЗ "Роддом № 4" </v>
      </c>
      <c r="D209" s="58"/>
      <c r="E209" s="170">
        <v>142</v>
      </c>
      <c r="F209" s="131"/>
      <c r="G209" s="132"/>
      <c r="H209" s="140" t="s">
        <v>187</v>
      </c>
      <c r="I209" s="142">
        <f t="shared" si="77"/>
        <v>2220</v>
      </c>
      <c r="J209" s="142">
        <v>2220</v>
      </c>
      <c r="K209" s="144"/>
      <c r="L209" s="149">
        <f t="shared" si="78"/>
        <v>96637.6</v>
      </c>
      <c r="M209" s="149">
        <v>96637.6</v>
      </c>
      <c r="N209" s="149"/>
    </row>
    <row r="210" spans="1:14" s="54" customFormat="1" ht="30" x14ac:dyDescent="0.25">
      <c r="A210" s="124" t="e">
        <f t="shared" si="72"/>
        <v>#REF!</v>
      </c>
      <c r="C210" s="56" t="str">
        <f t="shared" si="74"/>
        <v xml:space="preserve">ОГАУЗ "Роддом № 4" </v>
      </c>
      <c r="D210" s="58"/>
      <c r="E210" s="170">
        <v>142</v>
      </c>
      <c r="F210" s="131"/>
      <c r="G210" s="132"/>
      <c r="H210" s="140" t="s">
        <v>374</v>
      </c>
      <c r="I210" s="142">
        <f t="shared" si="77"/>
        <v>1740</v>
      </c>
      <c r="J210" s="142">
        <v>1740</v>
      </c>
      <c r="K210" s="144"/>
      <c r="L210" s="149">
        <f t="shared" si="78"/>
        <v>91965.7</v>
      </c>
      <c r="M210" s="149">
        <v>91965.7</v>
      </c>
      <c r="N210" s="149"/>
    </row>
    <row r="211" spans="1:14" s="54" customFormat="1" ht="15.75" x14ac:dyDescent="0.25">
      <c r="A211" s="124" t="e">
        <f t="shared" si="72"/>
        <v>#REF!</v>
      </c>
      <c r="C211" s="56" t="str">
        <f t="shared" si="74"/>
        <v xml:space="preserve">ОГАУЗ "Роддом № 4" </v>
      </c>
      <c r="D211" s="58"/>
      <c r="E211" s="170">
        <v>142</v>
      </c>
      <c r="F211" s="131"/>
      <c r="G211" s="132"/>
      <c r="H211" s="133" t="s">
        <v>189</v>
      </c>
      <c r="I211" s="142">
        <f t="shared" si="77"/>
        <v>60</v>
      </c>
      <c r="J211" s="142">
        <v>60</v>
      </c>
      <c r="K211" s="144"/>
      <c r="L211" s="149">
        <f t="shared" si="78"/>
        <v>11859.5</v>
      </c>
      <c r="M211" s="149">
        <v>11859.5</v>
      </c>
      <c r="N211" s="149"/>
    </row>
    <row r="212" spans="1:14" s="54" customFormat="1" ht="15.75" customHeight="1" x14ac:dyDescent="0.25">
      <c r="A212" s="124" t="e">
        <f t="shared" si="72"/>
        <v>#REF!</v>
      </c>
      <c r="C212" s="56" t="str">
        <f t="shared" si="74"/>
        <v xml:space="preserve">ОГАУЗ "Роддом № 4" </v>
      </c>
      <c r="D212" s="58">
        <v>142</v>
      </c>
      <c r="E212" s="170">
        <v>142</v>
      </c>
      <c r="F212" s="131"/>
      <c r="G212" s="153"/>
      <c r="H212" s="179" t="s">
        <v>188</v>
      </c>
      <c r="I212" s="155">
        <f>ROUND(I207+I208+I211,0)</f>
        <v>6730</v>
      </c>
      <c r="J212" s="155">
        <f>ROUND(J207+J208+J211,0)</f>
        <v>6730</v>
      </c>
      <c r="K212" s="155">
        <f>ROUND(K207+K208+K211,0)</f>
        <v>0</v>
      </c>
      <c r="L212" s="156">
        <f t="shared" ref="L212:N212" si="79">ROUND(L207+L208+L211,1)</f>
        <v>302854</v>
      </c>
      <c r="M212" s="156">
        <f t="shared" si="79"/>
        <v>302854</v>
      </c>
      <c r="N212" s="156">
        <f t="shared" si="79"/>
        <v>0</v>
      </c>
    </row>
    <row r="213" spans="1:14" s="54" customFormat="1" ht="21.75" customHeight="1" x14ac:dyDescent="0.25">
      <c r="A213" s="124"/>
      <c r="C213" s="56"/>
      <c r="D213" s="58"/>
      <c r="E213" s="170"/>
      <c r="F213" s="137">
        <v>129</v>
      </c>
      <c r="G213" s="433" t="s">
        <v>105</v>
      </c>
      <c r="H213" s="434"/>
      <c r="I213" s="143"/>
      <c r="J213" s="143"/>
      <c r="K213" s="143"/>
      <c r="L213" s="148"/>
      <c r="M213" s="148"/>
      <c r="N213" s="148"/>
    </row>
    <row r="214" spans="1:14" s="54" customFormat="1" ht="60" x14ac:dyDescent="0.25">
      <c r="A214" s="124" t="e">
        <f>A212</f>
        <v>#REF!</v>
      </c>
      <c r="C214" s="56" t="str">
        <f>VLOOKUP(E214,$F$12:$G$336,2,0)</f>
        <v xml:space="preserve">ОГАУЗ "Родильный дом им. Н.А. Семашко" </v>
      </c>
      <c r="D214" s="58"/>
      <c r="E214" s="170">
        <v>129</v>
      </c>
      <c r="F214" s="137"/>
      <c r="G214" s="134"/>
      <c r="H214" s="135" t="s">
        <v>480</v>
      </c>
      <c r="I214" s="142">
        <f t="shared" ref="I214:I217" si="80">J214+K214</f>
        <v>7106</v>
      </c>
      <c r="J214" s="142">
        <f>6937+169</f>
        <v>7106</v>
      </c>
      <c r="K214" s="144"/>
      <c r="L214" s="149">
        <f t="shared" ref="L214:L217" si="81">M214+N214</f>
        <v>281197.09999999998</v>
      </c>
      <c r="M214" s="149">
        <f>274804.3+6392.8</f>
        <v>281197.09999999998</v>
      </c>
      <c r="N214" s="149"/>
    </row>
    <row r="215" spans="1:14" s="54" customFormat="1" ht="30" x14ac:dyDescent="0.25">
      <c r="A215" s="124" t="e">
        <f t="shared" si="72"/>
        <v>#REF!</v>
      </c>
      <c r="C215" s="56" t="str">
        <f>VLOOKUP(E215,$F$12:$G$336,2,0)</f>
        <v xml:space="preserve">ОГАУЗ "Родильный дом им. Н.А. Семашко" </v>
      </c>
      <c r="D215" s="58"/>
      <c r="E215" s="170">
        <v>129</v>
      </c>
      <c r="F215" s="137"/>
      <c r="G215" s="132"/>
      <c r="H215" s="140" t="s">
        <v>187</v>
      </c>
      <c r="I215" s="142">
        <f t="shared" si="80"/>
        <v>1332</v>
      </c>
      <c r="J215" s="142">
        <v>1332</v>
      </c>
      <c r="K215" s="144"/>
      <c r="L215" s="149">
        <f t="shared" si="81"/>
        <v>61173.2</v>
      </c>
      <c r="M215" s="149">
        <v>61173.2</v>
      </c>
      <c r="N215" s="149"/>
    </row>
    <row r="216" spans="1:14" s="54" customFormat="1" ht="30" x14ac:dyDescent="0.25">
      <c r="A216" s="124" t="e">
        <f t="shared" si="72"/>
        <v>#REF!</v>
      </c>
      <c r="C216" s="56" t="str">
        <f>VLOOKUP(E216,$F$12:$G$336,2,0)</f>
        <v xml:space="preserve">ОГАУЗ "Родильный дом им. Н.А. Семашко" </v>
      </c>
      <c r="D216" s="58"/>
      <c r="E216" s="170">
        <v>129</v>
      </c>
      <c r="F216" s="137"/>
      <c r="G216" s="132"/>
      <c r="H216" s="140" t="s">
        <v>374</v>
      </c>
      <c r="I216" s="142">
        <f t="shared" si="80"/>
        <v>2160</v>
      </c>
      <c r="J216" s="142">
        <v>2160</v>
      </c>
      <c r="K216" s="144"/>
      <c r="L216" s="149">
        <f t="shared" si="81"/>
        <v>127730.8</v>
      </c>
      <c r="M216" s="149">
        <v>127730.8</v>
      </c>
      <c r="N216" s="149"/>
    </row>
    <row r="217" spans="1:14" s="54" customFormat="1" ht="15.75" x14ac:dyDescent="0.25">
      <c r="A217" s="124" t="e">
        <f t="shared" si="72"/>
        <v>#REF!</v>
      </c>
      <c r="C217" s="56" t="str">
        <f>VLOOKUP(E217,$F$12:$G$336,2,0)</f>
        <v xml:space="preserve">ОГАУЗ "Родильный дом им. Н.А. Семашко" </v>
      </c>
      <c r="D217" s="58"/>
      <c r="E217" s="170">
        <v>129</v>
      </c>
      <c r="F217" s="137"/>
      <c r="G217" s="132"/>
      <c r="H217" s="133" t="s">
        <v>189</v>
      </c>
      <c r="I217" s="142">
        <f t="shared" si="80"/>
        <v>4</v>
      </c>
      <c r="J217" s="142">
        <v>4</v>
      </c>
      <c r="K217" s="144"/>
      <c r="L217" s="149">
        <f t="shared" si="81"/>
        <v>1007.3000000000001</v>
      </c>
      <c r="M217" s="149">
        <v>1007.3000000000001</v>
      </c>
      <c r="N217" s="149"/>
    </row>
    <row r="218" spans="1:14" s="54" customFormat="1" ht="15.75" x14ac:dyDescent="0.25">
      <c r="A218" s="124" t="e">
        <f t="shared" si="72"/>
        <v>#REF!</v>
      </c>
      <c r="C218" s="56" t="str">
        <f>VLOOKUP(E218,$F$12:$G$336,2,0)</f>
        <v xml:space="preserve">ОГАУЗ "Родильный дом им. Н.А. Семашко" </v>
      </c>
      <c r="D218" s="58">
        <v>129</v>
      </c>
      <c r="E218" s="170">
        <v>129</v>
      </c>
      <c r="F218" s="137"/>
      <c r="G218" s="153"/>
      <c r="H218" s="179" t="s">
        <v>188</v>
      </c>
      <c r="I218" s="155">
        <f>ROUND(I214+I217,0)</f>
        <v>7110</v>
      </c>
      <c r="J218" s="155">
        <f>ROUND(J214+J217,0)</f>
        <v>7110</v>
      </c>
      <c r="K218" s="155">
        <f>ROUND(K214+K217,0)</f>
        <v>0</v>
      </c>
      <c r="L218" s="156">
        <f t="shared" ref="L218:N218" si="82">ROUND(L214+L217,1)</f>
        <v>282204.40000000002</v>
      </c>
      <c r="M218" s="156">
        <f t="shared" si="82"/>
        <v>282204.40000000002</v>
      </c>
      <c r="N218" s="156">
        <f t="shared" si="82"/>
        <v>0</v>
      </c>
    </row>
    <row r="219" spans="1:14" s="54" customFormat="1" ht="21.75" customHeight="1" x14ac:dyDescent="0.25">
      <c r="A219" s="124"/>
      <c r="C219" s="56"/>
      <c r="D219" s="58"/>
      <c r="E219" s="170"/>
      <c r="F219" s="137">
        <v>115</v>
      </c>
      <c r="G219" s="433" t="s">
        <v>23</v>
      </c>
      <c r="H219" s="434"/>
      <c r="I219" s="143"/>
      <c r="J219" s="143"/>
      <c r="K219" s="143"/>
      <c r="L219" s="148"/>
      <c r="M219" s="148"/>
      <c r="N219" s="148"/>
    </row>
    <row r="220" spans="1:14" s="54" customFormat="1" ht="90" x14ac:dyDescent="0.25">
      <c r="A220" s="124" t="e">
        <f>A218</f>
        <v>#REF!</v>
      </c>
      <c r="B220" s="247"/>
      <c r="C220" s="56" t="str">
        <f t="shared" ref="C220:C231" si="83">VLOOKUP(E220,$F$12:$G$336,2,0)</f>
        <v>ОГАУЗ "Стрежевская ГБ"</v>
      </c>
      <c r="D220" s="58"/>
      <c r="E220" s="170">
        <v>115</v>
      </c>
      <c r="F220" s="137"/>
      <c r="G220" s="134"/>
      <c r="H220" s="135" t="s">
        <v>479</v>
      </c>
      <c r="I220" s="142">
        <f t="shared" ref="I220:I230" si="84">J220+K220</f>
        <v>880</v>
      </c>
      <c r="J220" s="142">
        <v>880</v>
      </c>
      <c r="K220" s="144"/>
      <c r="L220" s="149">
        <f t="shared" ref="L220:L230" si="85">M220+N220</f>
        <v>73654.2</v>
      </c>
      <c r="M220" s="149">
        <v>73654.2</v>
      </c>
      <c r="N220" s="149"/>
    </row>
    <row r="221" spans="1:14" s="54" customFormat="1" ht="27.75" customHeight="1" x14ac:dyDescent="0.25">
      <c r="A221" s="124" t="e">
        <f t="shared" si="72"/>
        <v>#REF!</v>
      </c>
      <c r="B221" s="62"/>
      <c r="C221" s="56" t="str">
        <f t="shared" si="83"/>
        <v>ОГАУЗ "Стрежевская ГБ"</v>
      </c>
      <c r="D221" s="58"/>
      <c r="E221" s="170">
        <v>115</v>
      </c>
      <c r="F221" s="137"/>
      <c r="G221" s="132"/>
      <c r="H221" s="140" t="s">
        <v>187</v>
      </c>
      <c r="I221" s="142">
        <f t="shared" si="84"/>
        <v>300</v>
      </c>
      <c r="J221" s="142">
        <v>300</v>
      </c>
      <c r="K221" s="144"/>
      <c r="L221" s="149">
        <f t="shared" si="85"/>
        <v>28250.2</v>
      </c>
      <c r="M221" s="149">
        <v>28250.2</v>
      </c>
      <c r="N221" s="149"/>
    </row>
    <row r="222" spans="1:14" s="54" customFormat="1" ht="24" customHeight="1" x14ac:dyDescent="0.25">
      <c r="A222" s="124" t="e">
        <f t="shared" si="72"/>
        <v>#REF!</v>
      </c>
      <c r="C222" s="56" t="str">
        <f t="shared" si="83"/>
        <v>ОГАУЗ "Стрежевская ГБ"</v>
      </c>
      <c r="D222" s="58"/>
      <c r="E222" s="170">
        <v>115</v>
      </c>
      <c r="F222" s="137"/>
      <c r="G222" s="132"/>
      <c r="H222" s="140" t="s">
        <v>374</v>
      </c>
      <c r="I222" s="142">
        <f t="shared" si="84"/>
        <v>211</v>
      </c>
      <c r="J222" s="142">
        <v>211</v>
      </c>
      <c r="K222" s="144"/>
      <c r="L222" s="149">
        <f t="shared" si="85"/>
        <v>36786.699999999997</v>
      </c>
      <c r="M222" s="149">
        <v>36786.699999999997</v>
      </c>
      <c r="N222" s="149"/>
    </row>
    <row r="223" spans="1:14" s="54" customFormat="1" ht="15.75" x14ac:dyDescent="0.25">
      <c r="A223" s="124" t="e">
        <f t="shared" si="72"/>
        <v>#REF!</v>
      </c>
      <c r="C223" s="56" t="str">
        <f t="shared" si="83"/>
        <v>ОГАУЗ "Стрежевская ГБ"</v>
      </c>
      <c r="D223" s="58"/>
      <c r="E223" s="170">
        <v>115</v>
      </c>
      <c r="F223" s="137"/>
      <c r="G223" s="132"/>
      <c r="H223" s="133" t="s">
        <v>6</v>
      </c>
      <c r="I223" s="142">
        <f t="shared" si="84"/>
        <v>520</v>
      </c>
      <c r="J223" s="142">
        <v>520</v>
      </c>
      <c r="K223" s="144"/>
      <c r="L223" s="149">
        <f t="shared" si="85"/>
        <v>43072.6</v>
      </c>
      <c r="M223" s="149">
        <v>43072.6</v>
      </c>
      <c r="N223" s="149"/>
    </row>
    <row r="224" spans="1:14" s="54" customFormat="1" ht="15.75" x14ac:dyDescent="0.25">
      <c r="A224" s="124" t="e">
        <f t="shared" si="72"/>
        <v>#REF!</v>
      </c>
      <c r="C224" s="56" t="str">
        <f t="shared" si="83"/>
        <v>ОГАУЗ "Стрежевская ГБ"</v>
      </c>
      <c r="D224" s="58"/>
      <c r="E224" s="170">
        <v>115</v>
      </c>
      <c r="F224" s="137"/>
      <c r="G224" s="132"/>
      <c r="H224" s="133" t="s">
        <v>16</v>
      </c>
      <c r="I224" s="142">
        <f t="shared" si="84"/>
        <v>806</v>
      </c>
      <c r="J224" s="142">
        <v>806</v>
      </c>
      <c r="K224" s="144"/>
      <c r="L224" s="149">
        <f t="shared" si="85"/>
        <v>42506.6</v>
      </c>
      <c r="M224" s="149">
        <v>42506.6</v>
      </c>
      <c r="N224" s="149"/>
    </row>
    <row r="225" spans="1:14" s="54" customFormat="1" ht="15.75" x14ac:dyDescent="0.25">
      <c r="A225" s="124" t="e">
        <f t="shared" si="72"/>
        <v>#REF!</v>
      </c>
      <c r="C225" s="56" t="str">
        <f t="shared" si="83"/>
        <v>ОГАУЗ "Стрежевская ГБ"</v>
      </c>
      <c r="D225" s="58"/>
      <c r="E225" s="170">
        <v>115</v>
      </c>
      <c r="F225" s="137"/>
      <c r="G225" s="132"/>
      <c r="H225" s="133" t="s">
        <v>9</v>
      </c>
      <c r="I225" s="142">
        <f t="shared" si="84"/>
        <v>630</v>
      </c>
      <c r="J225" s="142">
        <v>630</v>
      </c>
      <c r="K225" s="144"/>
      <c r="L225" s="149">
        <f t="shared" si="85"/>
        <v>57648.2</v>
      </c>
      <c r="M225" s="149">
        <v>57648.2</v>
      </c>
      <c r="N225" s="149"/>
    </row>
    <row r="226" spans="1:14" s="54" customFormat="1" ht="15.75" x14ac:dyDescent="0.25">
      <c r="A226" s="124" t="e">
        <f t="shared" si="72"/>
        <v>#REF!</v>
      </c>
      <c r="B226" s="247"/>
      <c r="C226" s="56" t="str">
        <f t="shared" si="83"/>
        <v>ОГАУЗ "Стрежевская ГБ"</v>
      </c>
      <c r="D226" s="58"/>
      <c r="E226" s="170">
        <v>115</v>
      </c>
      <c r="F226" s="137"/>
      <c r="G226" s="132"/>
      <c r="H226" s="133" t="s">
        <v>189</v>
      </c>
      <c r="I226" s="142">
        <f t="shared" si="84"/>
        <v>80</v>
      </c>
      <c r="J226" s="142">
        <v>80</v>
      </c>
      <c r="K226" s="144"/>
      <c r="L226" s="149">
        <f t="shared" si="85"/>
        <v>10655.5</v>
      </c>
      <c r="M226" s="149">
        <v>10655.5</v>
      </c>
      <c r="N226" s="149"/>
    </row>
    <row r="227" spans="1:14" s="54" customFormat="1" ht="24.75" customHeight="1" x14ac:dyDescent="0.25">
      <c r="A227" s="124" t="e">
        <f t="shared" si="72"/>
        <v>#REF!</v>
      </c>
      <c r="B227" s="62"/>
      <c r="C227" s="56" t="str">
        <f t="shared" si="83"/>
        <v>ОГАУЗ "Стрежевская ГБ"</v>
      </c>
      <c r="D227" s="58"/>
      <c r="E227" s="170">
        <v>115</v>
      </c>
      <c r="F227" s="137"/>
      <c r="G227" s="132"/>
      <c r="H227" s="133" t="s">
        <v>7</v>
      </c>
      <c r="I227" s="142">
        <f t="shared" si="84"/>
        <v>620</v>
      </c>
      <c r="J227" s="142">
        <v>620</v>
      </c>
      <c r="K227" s="144"/>
      <c r="L227" s="149">
        <f t="shared" si="85"/>
        <v>49532.2</v>
      </c>
      <c r="M227" s="149">
        <v>49532.2</v>
      </c>
      <c r="N227" s="149"/>
    </row>
    <row r="228" spans="1:14" s="54" customFormat="1" ht="15.75" x14ac:dyDescent="0.25">
      <c r="A228" s="124" t="e">
        <f t="shared" si="72"/>
        <v>#REF!</v>
      </c>
      <c r="C228" s="56" t="str">
        <f t="shared" si="83"/>
        <v>ОГАУЗ "Стрежевская ГБ"</v>
      </c>
      <c r="D228" s="58"/>
      <c r="E228" s="170">
        <v>115</v>
      </c>
      <c r="F228" s="137"/>
      <c r="G228" s="132"/>
      <c r="H228" s="229" t="s">
        <v>8</v>
      </c>
      <c r="I228" s="142">
        <f t="shared" si="84"/>
        <v>630</v>
      </c>
      <c r="J228" s="142">
        <v>630</v>
      </c>
      <c r="K228" s="144"/>
      <c r="L228" s="149">
        <f t="shared" si="85"/>
        <v>59702.8</v>
      </c>
      <c r="M228" s="149">
        <v>59702.8</v>
      </c>
      <c r="N228" s="149"/>
    </row>
    <row r="229" spans="1:14" s="54" customFormat="1" ht="15.75" x14ac:dyDescent="0.25">
      <c r="A229" s="124" t="e">
        <f t="shared" si="72"/>
        <v>#REF!</v>
      </c>
      <c r="C229" s="56" t="str">
        <f t="shared" si="83"/>
        <v>ОГАУЗ "Стрежевская ГБ"</v>
      </c>
      <c r="D229" s="58"/>
      <c r="E229" s="170">
        <v>115</v>
      </c>
      <c r="F229" s="137"/>
      <c r="G229" s="132"/>
      <c r="H229" s="133" t="s">
        <v>5</v>
      </c>
      <c r="I229" s="142">
        <f t="shared" si="84"/>
        <v>220</v>
      </c>
      <c r="J229" s="142">
        <v>220</v>
      </c>
      <c r="K229" s="144"/>
      <c r="L229" s="149">
        <f t="shared" si="85"/>
        <v>21236.400000000001</v>
      </c>
      <c r="M229" s="149">
        <v>21236.400000000001</v>
      </c>
      <c r="N229" s="149"/>
    </row>
    <row r="230" spans="1:14" s="54" customFormat="1" ht="15.75" x14ac:dyDescent="0.25">
      <c r="A230" s="124" t="e">
        <f t="shared" si="72"/>
        <v>#REF!</v>
      </c>
      <c r="C230" s="56" t="str">
        <f t="shared" si="83"/>
        <v>ОГАУЗ "Стрежевская ГБ"</v>
      </c>
      <c r="D230" s="58"/>
      <c r="E230" s="170">
        <v>115</v>
      </c>
      <c r="F230" s="137"/>
      <c r="G230" s="132"/>
      <c r="H230" s="133" t="s">
        <v>4</v>
      </c>
      <c r="I230" s="142">
        <f t="shared" si="84"/>
        <v>980</v>
      </c>
      <c r="J230" s="142">
        <v>980</v>
      </c>
      <c r="K230" s="144"/>
      <c r="L230" s="149">
        <f t="shared" si="85"/>
        <v>81578.8</v>
      </c>
      <c r="M230" s="149">
        <v>81578.8</v>
      </c>
      <c r="N230" s="149"/>
    </row>
    <row r="231" spans="1:14" s="54" customFormat="1" ht="15.75" x14ac:dyDescent="0.25">
      <c r="A231" s="124" t="e">
        <f t="shared" si="72"/>
        <v>#REF!</v>
      </c>
      <c r="B231" s="247"/>
      <c r="C231" s="56" t="str">
        <f t="shared" si="83"/>
        <v>ОГАУЗ "Стрежевская ГБ"</v>
      </c>
      <c r="D231" s="58">
        <v>115</v>
      </c>
      <c r="E231" s="170">
        <v>115</v>
      </c>
      <c r="F231" s="137"/>
      <c r="G231" s="157"/>
      <c r="H231" s="179" t="s">
        <v>188</v>
      </c>
      <c r="I231" s="155">
        <f>ROUND(I220+I223+I224+I225+I226+I227+I228+I229+I230,0)</f>
        <v>5366</v>
      </c>
      <c r="J231" s="155">
        <f>ROUND(J220+J223+J224+J225+J226+J227+J228+J229+J230,0)</f>
        <v>5366</v>
      </c>
      <c r="K231" s="155">
        <f>ROUND(K220+K223+K224+K225+K226+K227+K228+K229+K230,0)</f>
        <v>0</v>
      </c>
      <c r="L231" s="156">
        <f t="shared" ref="L231:N231" si="86">ROUND(L220+L223+L224+L225+L226+L227+L228+L229+L230,1)</f>
        <v>439587.3</v>
      </c>
      <c r="M231" s="156">
        <f t="shared" si="86"/>
        <v>439587.3</v>
      </c>
      <c r="N231" s="156">
        <f t="shared" si="86"/>
        <v>0</v>
      </c>
    </row>
    <row r="232" spans="1:14" s="54" customFormat="1" ht="28.5" customHeight="1" x14ac:dyDescent="0.25">
      <c r="A232" s="124"/>
      <c r="B232" s="62"/>
      <c r="C232" s="56"/>
      <c r="D232" s="58"/>
      <c r="E232" s="170"/>
      <c r="F232" s="137">
        <v>81</v>
      </c>
      <c r="G232" s="433" t="s">
        <v>107</v>
      </c>
      <c r="H232" s="434"/>
      <c r="I232" s="143"/>
      <c r="J232" s="143"/>
      <c r="K232" s="143"/>
      <c r="L232" s="148"/>
      <c r="M232" s="148"/>
      <c r="N232" s="148"/>
    </row>
    <row r="233" spans="1:14" s="54" customFormat="1" ht="22.5" customHeight="1" x14ac:dyDescent="0.25">
      <c r="A233" s="124" t="e">
        <f>A231</f>
        <v>#REF!</v>
      </c>
      <c r="B233" s="62"/>
      <c r="C233" s="56" t="str">
        <f t="shared" ref="C233:C266" si="87">VLOOKUP(E233,$F$12:$G$336,2,0)</f>
        <v xml:space="preserve">ОГБУЗ "Тегульдетская РБ" </v>
      </c>
      <c r="D233" s="58"/>
      <c r="E233" s="170">
        <v>81</v>
      </c>
      <c r="F233" s="137"/>
      <c r="G233" s="134"/>
      <c r="H233" s="135" t="s">
        <v>479</v>
      </c>
      <c r="I233" s="142">
        <f t="shared" ref="I233:I237" si="88">J233+K233</f>
        <v>140</v>
      </c>
      <c r="J233" s="142">
        <v>140</v>
      </c>
      <c r="K233" s="144"/>
      <c r="L233" s="149">
        <f t="shared" ref="L233:L237" si="89">M233+N233</f>
        <v>7337</v>
      </c>
      <c r="M233" s="149">
        <v>7337</v>
      </c>
      <c r="N233" s="149"/>
    </row>
    <row r="234" spans="1:14" s="54" customFormat="1" ht="45" x14ac:dyDescent="0.25">
      <c r="A234" s="124" t="e">
        <f t="shared" si="72"/>
        <v>#REF!</v>
      </c>
      <c r="C234" s="56" t="str">
        <f t="shared" si="87"/>
        <v xml:space="preserve">ОГБУЗ "Тегульдетская РБ" </v>
      </c>
      <c r="D234" s="58"/>
      <c r="E234" s="170">
        <v>81</v>
      </c>
      <c r="F234" s="137"/>
      <c r="G234" s="132"/>
      <c r="H234" s="233" t="s">
        <v>429</v>
      </c>
      <c r="I234" s="142">
        <f t="shared" si="88"/>
        <v>7</v>
      </c>
      <c r="J234" s="142">
        <v>7</v>
      </c>
      <c r="K234" s="144"/>
      <c r="L234" s="149">
        <f t="shared" si="89"/>
        <v>366.8</v>
      </c>
      <c r="M234" s="149">
        <v>366.8</v>
      </c>
      <c r="N234" s="149"/>
    </row>
    <row r="235" spans="1:14" s="54" customFormat="1" ht="15.75" x14ac:dyDescent="0.25">
      <c r="A235" s="124" t="e">
        <f>#REF!</f>
        <v>#REF!</v>
      </c>
      <c r="B235" s="248">
        <v>173</v>
      </c>
      <c r="C235" s="56" t="str">
        <f t="shared" si="87"/>
        <v xml:space="preserve">ОГБУЗ "Тегульдетская РБ" </v>
      </c>
      <c r="D235" s="58"/>
      <c r="E235" s="170">
        <v>81</v>
      </c>
      <c r="F235" s="137"/>
      <c r="G235" s="132"/>
      <c r="H235" s="135" t="s">
        <v>7</v>
      </c>
      <c r="I235" s="142">
        <f t="shared" si="88"/>
        <v>274</v>
      </c>
      <c r="J235" s="142">
        <v>274</v>
      </c>
      <c r="K235" s="144"/>
      <c r="L235" s="149">
        <f t="shared" si="89"/>
        <v>23034.2</v>
      </c>
      <c r="M235" s="149">
        <v>23034.2</v>
      </c>
      <c r="N235" s="149"/>
    </row>
    <row r="236" spans="1:14" s="54" customFormat="1" ht="15.75" x14ac:dyDescent="0.25">
      <c r="A236" s="124" t="e">
        <f t="shared" si="72"/>
        <v>#REF!</v>
      </c>
      <c r="C236" s="56" t="str">
        <f t="shared" si="87"/>
        <v xml:space="preserve">ОГБУЗ "Тегульдетская РБ" </v>
      </c>
      <c r="D236" s="58"/>
      <c r="E236" s="170">
        <v>81</v>
      </c>
      <c r="F236" s="137"/>
      <c r="G236" s="132"/>
      <c r="H236" s="135" t="s">
        <v>8</v>
      </c>
      <c r="I236" s="142">
        <f t="shared" si="88"/>
        <v>272</v>
      </c>
      <c r="J236" s="142">
        <v>272</v>
      </c>
      <c r="K236" s="144"/>
      <c r="L236" s="149">
        <f t="shared" si="89"/>
        <v>18971.900000000001</v>
      </c>
      <c r="M236" s="149">
        <v>18971.900000000001</v>
      </c>
      <c r="N236" s="149"/>
    </row>
    <row r="237" spans="1:14" s="54" customFormat="1" ht="15.75" x14ac:dyDescent="0.25">
      <c r="A237" s="124" t="e">
        <f t="shared" si="72"/>
        <v>#REF!</v>
      </c>
      <c r="C237" s="56" t="str">
        <f t="shared" si="87"/>
        <v xml:space="preserve">ОГБУЗ "Тегульдетская РБ" </v>
      </c>
      <c r="D237" s="58"/>
      <c r="E237" s="170">
        <v>81</v>
      </c>
      <c r="F237" s="137"/>
      <c r="G237" s="132"/>
      <c r="H237" s="135" t="s">
        <v>4</v>
      </c>
      <c r="I237" s="142">
        <f t="shared" si="88"/>
        <v>315</v>
      </c>
      <c r="J237" s="142">
        <v>315</v>
      </c>
      <c r="K237" s="144"/>
      <c r="L237" s="149">
        <f t="shared" si="89"/>
        <v>20243.8</v>
      </c>
      <c r="M237" s="149">
        <v>20243.8</v>
      </c>
      <c r="N237" s="149"/>
    </row>
    <row r="238" spans="1:14" s="54" customFormat="1" ht="15.75" x14ac:dyDescent="0.25">
      <c r="A238" s="124" t="e">
        <f t="shared" si="72"/>
        <v>#REF!</v>
      </c>
      <c r="C238" s="56" t="str">
        <f t="shared" si="87"/>
        <v xml:space="preserve">ОГБУЗ "Тегульдетская РБ" </v>
      </c>
      <c r="D238" s="58">
        <v>81</v>
      </c>
      <c r="E238" s="170">
        <v>81</v>
      </c>
      <c r="F238" s="137"/>
      <c r="G238" s="182"/>
      <c r="H238" s="154" t="s">
        <v>188</v>
      </c>
      <c r="I238" s="155">
        <f>ROUND(I233+I234+I235+I236+I237,1)</f>
        <v>1008</v>
      </c>
      <c r="J238" s="155">
        <f>ROUND(J233+J234+J235+J236+J237,1)</f>
        <v>1008</v>
      </c>
      <c r="K238" s="155">
        <f t="shared" ref="K238:N238" si="90">ROUND(K233+K234+K235+K236+K237,1)</f>
        <v>0</v>
      </c>
      <c r="L238" s="156">
        <f t="shared" si="90"/>
        <v>69953.7</v>
      </c>
      <c r="M238" s="156">
        <f t="shared" si="90"/>
        <v>69953.7</v>
      </c>
      <c r="N238" s="156">
        <f t="shared" si="90"/>
        <v>0</v>
      </c>
    </row>
    <row r="239" spans="1:14" s="54" customFormat="1" ht="15.75" x14ac:dyDescent="0.25">
      <c r="A239" s="124" t="e">
        <f t="shared" si="72"/>
        <v>#REF!</v>
      </c>
      <c r="C239" s="56" t="str">
        <f t="shared" si="87"/>
        <v>ОГАУЗ "ТОКБ"</v>
      </c>
      <c r="D239" s="58"/>
      <c r="E239" s="170">
        <v>144</v>
      </c>
      <c r="F239" s="131">
        <v>144</v>
      </c>
      <c r="G239" s="433" t="s">
        <v>24</v>
      </c>
      <c r="H239" s="434"/>
      <c r="I239" s="142"/>
      <c r="J239" s="142"/>
      <c r="K239" s="144"/>
      <c r="L239" s="149"/>
      <c r="M239" s="149"/>
      <c r="N239" s="149"/>
    </row>
    <row r="240" spans="1:14" s="54" customFormat="1" ht="90" x14ac:dyDescent="0.25">
      <c r="A240" s="124" t="e">
        <f t="shared" si="72"/>
        <v>#REF!</v>
      </c>
      <c r="C240" s="56" t="str">
        <f t="shared" si="87"/>
        <v>ОГАУЗ "ТОКБ"</v>
      </c>
      <c r="D240" s="58"/>
      <c r="E240" s="170">
        <v>144</v>
      </c>
      <c r="F240" s="131"/>
      <c r="G240" s="132"/>
      <c r="H240" s="135" t="s">
        <v>479</v>
      </c>
      <c r="I240" s="142">
        <f t="shared" ref="I240:I265" si="91">J240+K240</f>
        <v>1359</v>
      </c>
      <c r="J240" s="142">
        <v>1302</v>
      </c>
      <c r="K240" s="144">
        <v>57</v>
      </c>
      <c r="L240" s="149">
        <f t="shared" ref="L240:L265" si="92">M240+N240</f>
        <v>100700.2</v>
      </c>
      <c r="M240" s="149">
        <v>84699.599999999991</v>
      </c>
      <c r="N240" s="149">
        <v>16000.6</v>
      </c>
    </row>
    <row r="241" spans="1:14" s="54" customFormat="1" ht="30" x14ac:dyDescent="0.25">
      <c r="A241" s="124" t="e">
        <f>#REF!</f>
        <v>#REF!</v>
      </c>
      <c r="B241" s="247"/>
      <c r="C241" s="56" t="str">
        <f t="shared" si="87"/>
        <v>ОГАУЗ "ТОКБ"</v>
      </c>
      <c r="D241" s="58"/>
      <c r="E241" s="170">
        <v>144</v>
      </c>
      <c r="F241" s="131"/>
      <c r="G241" s="132"/>
      <c r="H241" s="133" t="s">
        <v>211</v>
      </c>
      <c r="I241" s="142">
        <f t="shared" si="91"/>
        <v>78</v>
      </c>
      <c r="J241" s="142">
        <v>78</v>
      </c>
      <c r="K241" s="144"/>
      <c r="L241" s="149">
        <f t="shared" si="92"/>
        <v>4044.8</v>
      </c>
      <c r="M241" s="149">
        <v>4044.8</v>
      </c>
      <c r="N241" s="149"/>
    </row>
    <row r="242" spans="1:14" s="54" customFormat="1" ht="18.75" customHeight="1" x14ac:dyDescent="0.25">
      <c r="A242" s="124" t="e">
        <f t="shared" si="72"/>
        <v>#REF!</v>
      </c>
      <c r="B242" s="62"/>
      <c r="C242" s="56" t="str">
        <f t="shared" si="87"/>
        <v>ОГАУЗ "ТОКБ"</v>
      </c>
      <c r="D242" s="58"/>
      <c r="E242" s="170">
        <v>144</v>
      </c>
      <c r="F242" s="131"/>
      <c r="G242" s="132"/>
      <c r="H242" s="133" t="s">
        <v>212</v>
      </c>
      <c r="I242" s="142">
        <f t="shared" si="91"/>
        <v>1744</v>
      </c>
      <c r="J242" s="142">
        <v>1744</v>
      </c>
      <c r="K242" s="144"/>
      <c r="L242" s="149">
        <f t="shared" si="92"/>
        <v>267495.2</v>
      </c>
      <c r="M242" s="149">
        <v>267495.2</v>
      </c>
      <c r="N242" s="149"/>
    </row>
    <row r="243" spans="1:14" s="54" customFormat="1" ht="15.75" x14ac:dyDescent="0.25">
      <c r="A243" s="124" t="e">
        <f t="shared" si="72"/>
        <v>#REF!</v>
      </c>
      <c r="C243" s="56" t="str">
        <f t="shared" si="87"/>
        <v>ОГАУЗ "ТОКБ"</v>
      </c>
      <c r="D243" s="58"/>
      <c r="E243" s="170">
        <v>144</v>
      </c>
      <c r="F243" s="131"/>
      <c r="G243" s="132"/>
      <c r="H243" s="133" t="s">
        <v>213</v>
      </c>
      <c r="I243" s="142">
        <f t="shared" si="91"/>
        <v>100</v>
      </c>
      <c r="J243" s="142">
        <v>100</v>
      </c>
      <c r="K243" s="144"/>
      <c r="L243" s="149">
        <f t="shared" si="92"/>
        <v>15708</v>
      </c>
      <c r="M243" s="149">
        <v>15708</v>
      </c>
      <c r="N243" s="149"/>
    </row>
    <row r="244" spans="1:14" s="54" customFormat="1" ht="15.75" x14ac:dyDescent="0.25">
      <c r="A244" s="124" t="e">
        <f t="shared" si="72"/>
        <v>#REF!</v>
      </c>
      <c r="C244" s="56" t="str">
        <f t="shared" si="87"/>
        <v>ОГАУЗ "ТОКБ"</v>
      </c>
      <c r="D244" s="58"/>
      <c r="E244" s="170">
        <v>144</v>
      </c>
      <c r="F244" s="131"/>
      <c r="G244" s="132"/>
      <c r="H244" s="133" t="s">
        <v>19</v>
      </c>
      <c r="I244" s="142">
        <f t="shared" si="91"/>
        <v>235</v>
      </c>
      <c r="J244" s="142">
        <v>0</v>
      </c>
      <c r="K244" s="144">
        <v>235</v>
      </c>
      <c r="L244" s="149">
        <f t="shared" si="92"/>
        <v>75010.2</v>
      </c>
      <c r="M244" s="149">
        <v>0</v>
      </c>
      <c r="N244" s="149">
        <v>75010.2</v>
      </c>
    </row>
    <row r="245" spans="1:14" s="54" customFormat="1" ht="15.75" x14ac:dyDescent="0.25">
      <c r="A245" s="124" t="e">
        <f t="shared" si="72"/>
        <v>#REF!</v>
      </c>
      <c r="C245" s="56" t="str">
        <f t="shared" si="87"/>
        <v>ОГАУЗ "ТОКБ"</v>
      </c>
      <c r="D245" s="58"/>
      <c r="E245" s="170">
        <v>144</v>
      </c>
      <c r="F245" s="131"/>
      <c r="G245" s="132"/>
      <c r="H245" s="133" t="s">
        <v>16</v>
      </c>
      <c r="I245" s="142">
        <f t="shared" si="91"/>
        <v>1450</v>
      </c>
      <c r="J245" s="142">
        <v>1450</v>
      </c>
      <c r="K245" s="144"/>
      <c r="L245" s="149">
        <f t="shared" si="92"/>
        <v>102659.1</v>
      </c>
      <c r="M245" s="149">
        <v>102659.1</v>
      </c>
      <c r="N245" s="149"/>
    </row>
    <row r="246" spans="1:14" s="54" customFormat="1" ht="15.75" x14ac:dyDescent="0.25">
      <c r="A246" s="124" t="e">
        <f t="shared" si="72"/>
        <v>#REF!</v>
      </c>
      <c r="C246" s="56" t="str">
        <f t="shared" si="87"/>
        <v>ОГАУЗ "ТОКБ"</v>
      </c>
      <c r="D246" s="58"/>
      <c r="E246" s="170">
        <v>144</v>
      </c>
      <c r="F246" s="131"/>
      <c r="G246" s="132"/>
      <c r="H246" s="133" t="s">
        <v>214</v>
      </c>
      <c r="I246" s="142">
        <f t="shared" si="91"/>
        <v>1060</v>
      </c>
      <c r="J246" s="142">
        <v>1060</v>
      </c>
      <c r="K246" s="144"/>
      <c r="L246" s="149">
        <f t="shared" si="92"/>
        <v>61904.6</v>
      </c>
      <c r="M246" s="149">
        <v>61904.6</v>
      </c>
      <c r="N246" s="149"/>
    </row>
    <row r="247" spans="1:14" s="54" customFormat="1" ht="15.75" x14ac:dyDescent="0.25">
      <c r="A247" s="124" t="e">
        <f t="shared" si="72"/>
        <v>#REF!</v>
      </c>
      <c r="C247" s="56" t="str">
        <f t="shared" si="87"/>
        <v>ОГАУЗ "ТОКБ"</v>
      </c>
      <c r="D247" s="58"/>
      <c r="E247" s="170">
        <v>144</v>
      </c>
      <c r="F247" s="131"/>
      <c r="G247" s="132"/>
      <c r="H247" s="133" t="s">
        <v>9</v>
      </c>
      <c r="I247" s="142">
        <f t="shared" si="91"/>
        <v>3442</v>
      </c>
      <c r="J247" s="142">
        <v>3442</v>
      </c>
      <c r="K247" s="144"/>
      <c r="L247" s="149">
        <f t="shared" si="92"/>
        <v>331378.8</v>
      </c>
      <c r="M247" s="149">
        <v>331378.8</v>
      </c>
      <c r="N247" s="149"/>
    </row>
    <row r="248" spans="1:14" s="54" customFormat="1" ht="15.75" x14ac:dyDescent="0.25">
      <c r="A248" s="124" t="e">
        <f t="shared" si="72"/>
        <v>#REF!</v>
      </c>
      <c r="C248" s="56" t="str">
        <f t="shared" si="87"/>
        <v>ОГАУЗ "ТОКБ"</v>
      </c>
      <c r="D248" s="58"/>
      <c r="E248" s="170">
        <v>144</v>
      </c>
      <c r="F248" s="131"/>
      <c r="G248" s="132"/>
      <c r="H248" s="141" t="s">
        <v>215</v>
      </c>
      <c r="I248" s="142">
        <f t="shared" si="91"/>
        <v>2361</v>
      </c>
      <c r="J248" s="142">
        <v>2361</v>
      </c>
      <c r="K248" s="144"/>
      <c r="L248" s="149">
        <f t="shared" si="92"/>
        <v>224186.1</v>
      </c>
      <c r="M248" s="149">
        <v>224186.1</v>
      </c>
      <c r="N248" s="149"/>
    </row>
    <row r="249" spans="1:14" s="54" customFormat="1" ht="15.75" x14ac:dyDescent="0.25">
      <c r="A249" s="124" t="e">
        <f t="shared" si="72"/>
        <v>#REF!</v>
      </c>
      <c r="C249" s="56" t="str">
        <f t="shared" si="87"/>
        <v>ОГАУЗ "ТОКБ"</v>
      </c>
      <c r="D249" s="58"/>
      <c r="E249" s="170">
        <v>144</v>
      </c>
      <c r="F249" s="131"/>
      <c r="G249" s="132"/>
      <c r="H249" s="133" t="s">
        <v>194</v>
      </c>
      <c r="I249" s="142">
        <f t="shared" si="91"/>
        <v>953</v>
      </c>
      <c r="J249" s="142">
        <v>588</v>
      </c>
      <c r="K249" s="144">
        <v>365</v>
      </c>
      <c r="L249" s="149">
        <f t="shared" si="92"/>
        <v>200445.4</v>
      </c>
      <c r="M249" s="149">
        <v>77106.099999999991</v>
      </c>
      <c r="N249" s="149">
        <v>123339.3</v>
      </c>
    </row>
    <row r="250" spans="1:14" s="54" customFormat="1" ht="15.75" x14ac:dyDescent="0.25">
      <c r="A250" s="124" t="e">
        <f t="shared" si="72"/>
        <v>#REF!</v>
      </c>
      <c r="C250" s="56" t="str">
        <f t="shared" si="87"/>
        <v>ОГАУЗ "ТОКБ"</v>
      </c>
      <c r="D250" s="58"/>
      <c r="E250" s="170">
        <v>144</v>
      </c>
      <c r="F250" s="131"/>
      <c r="G250" s="132"/>
      <c r="H250" s="133" t="s">
        <v>202</v>
      </c>
      <c r="I250" s="142">
        <f t="shared" si="91"/>
        <v>740</v>
      </c>
      <c r="J250" s="142">
        <v>740</v>
      </c>
      <c r="K250" s="144"/>
      <c r="L250" s="149">
        <f t="shared" si="92"/>
        <v>90114.099999999991</v>
      </c>
      <c r="M250" s="149">
        <v>90114.099999999991</v>
      </c>
      <c r="N250" s="149"/>
    </row>
    <row r="251" spans="1:14" s="54" customFormat="1" ht="45" x14ac:dyDescent="0.25">
      <c r="A251" s="124" t="e">
        <f t="shared" si="72"/>
        <v>#REF!</v>
      </c>
      <c r="C251" s="56" t="str">
        <f t="shared" si="87"/>
        <v>ОГАУЗ "ТОКБ"</v>
      </c>
      <c r="D251" s="58"/>
      <c r="E251" s="170">
        <v>144</v>
      </c>
      <c r="F251" s="131"/>
      <c r="G251" s="132"/>
      <c r="H251" s="133" t="s">
        <v>10</v>
      </c>
      <c r="I251" s="142">
        <f t="shared" si="91"/>
        <v>52</v>
      </c>
      <c r="J251" s="142">
        <v>12</v>
      </c>
      <c r="K251" s="144">
        <v>40</v>
      </c>
      <c r="L251" s="149">
        <f t="shared" si="92"/>
        <v>8667.1</v>
      </c>
      <c r="M251" s="149">
        <v>2175.2000000000003</v>
      </c>
      <c r="N251" s="149">
        <v>6491.9</v>
      </c>
    </row>
    <row r="252" spans="1:14" s="54" customFormat="1" ht="15.75" x14ac:dyDescent="0.25">
      <c r="A252" s="124" t="e">
        <f t="shared" si="72"/>
        <v>#REF!</v>
      </c>
      <c r="C252" s="56" t="str">
        <f t="shared" si="87"/>
        <v>ОГАУЗ "ТОКБ"</v>
      </c>
      <c r="D252" s="58"/>
      <c r="E252" s="170">
        <v>144</v>
      </c>
      <c r="F252" s="131"/>
      <c r="G252" s="132"/>
      <c r="H252" s="133" t="s">
        <v>25</v>
      </c>
      <c r="I252" s="142">
        <f t="shared" si="91"/>
        <v>2082</v>
      </c>
      <c r="J252" s="142">
        <v>1802</v>
      </c>
      <c r="K252" s="144">
        <f>305-25</f>
        <v>280</v>
      </c>
      <c r="L252" s="149">
        <f t="shared" si="92"/>
        <v>130132.5</v>
      </c>
      <c r="M252" s="149">
        <v>97557.3</v>
      </c>
      <c r="N252" s="149">
        <f>34831.3-2256.1</f>
        <v>32575.200000000004</v>
      </c>
    </row>
    <row r="253" spans="1:14" s="54" customFormat="1" ht="15.75" x14ac:dyDescent="0.25">
      <c r="A253" s="124" t="e">
        <f t="shared" si="72"/>
        <v>#REF!</v>
      </c>
      <c r="C253" s="56" t="str">
        <f t="shared" si="87"/>
        <v>ОГАУЗ "ТОКБ"</v>
      </c>
      <c r="D253" s="58"/>
      <c r="E253" s="170">
        <v>144</v>
      </c>
      <c r="F253" s="131"/>
      <c r="G253" s="132"/>
      <c r="H253" s="133" t="s">
        <v>216</v>
      </c>
      <c r="I253" s="142">
        <f t="shared" si="91"/>
        <v>600</v>
      </c>
      <c r="J253" s="142">
        <v>600</v>
      </c>
      <c r="K253" s="144"/>
      <c r="L253" s="149">
        <f t="shared" si="92"/>
        <v>33145</v>
      </c>
      <c r="M253" s="149">
        <v>33145</v>
      </c>
      <c r="N253" s="149"/>
    </row>
    <row r="254" spans="1:14" s="54" customFormat="1" ht="15.75" x14ac:dyDescent="0.25">
      <c r="A254" s="124" t="e">
        <f t="shared" si="72"/>
        <v>#REF!</v>
      </c>
      <c r="B254" s="247"/>
      <c r="C254" s="56" t="str">
        <f t="shared" si="87"/>
        <v>ОГАУЗ "ТОКБ"</v>
      </c>
      <c r="D254" s="58"/>
      <c r="E254" s="170">
        <v>144</v>
      </c>
      <c r="F254" s="131"/>
      <c r="G254" s="132"/>
      <c r="H254" s="133" t="s">
        <v>12</v>
      </c>
      <c r="I254" s="142">
        <f t="shared" si="91"/>
        <v>1056</v>
      </c>
      <c r="J254" s="142">
        <v>1056</v>
      </c>
      <c r="K254" s="144"/>
      <c r="L254" s="149">
        <f t="shared" si="92"/>
        <v>67426.600000000006</v>
      </c>
      <c r="M254" s="149">
        <v>67426.600000000006</v>
      </c>
      <c r="N254" s="149"/>
    </row>
    <row r="255" spans="1:14" s="54" customFormat="1" ht="15.75" x14ac:dyDescent="0.25">
      <c r="A255" s="124" t="e">
        <f>#REF!</f>
        <v>#REF!</v>
      </c>
      <c r="C255" s="56" t="str">
        <f t="shared" si="87"/>
        <v>ОГАУЗ "ТОКБ"</v>
      </c>
      <c r="D255" s="58"/>
      <c r="E255" s="170">
        <v>144</v>
      </c>
      <c r="F255" s="131"/>
      <c r="G255" s="132"/>
      <c r="H255" s="133" t="s">
        <v>40</v>
      </c>
      <c r="I255" s="142">
        <f t="shared" si="91"/>
        <v>2516</v>
      </c>
      <c r="J255" s="142">
        <v>1309</v>
      </c>
      <c r="K255" s="144">
        <f>1205+2</f>
        <v>1207</v>
      </c>
      <c r="L255" s="149">
        <f t="shared" si="92"/>
        <v>558412.39999999991</v>
      </c>
      <c r="M255" s="149">
        <v>166697.69999999998</v>
      </c>
      <c r="N255" s="149">
        <f>388235.1+3479.6</f>
        <v>391714.69999999995</v>
      </c>
    </row>
    <row r="256" spans="1:14" s="54" customFormat="1" ht="15.75" x14ac:dyDescent="0.25">
      <c r="A256" s="124" t="e">
        <f t="shared" si="72"/>
        <v>#REF!</v>
      </c>
      <c r="C256" s="56" t="str">
        <f t="shared" si="87"/>
        <v>ОГАУЗ "ТОКБ"</v>
      </c>
      <c r="D256" s="58"/>
      <c r="E256" s="170">
        <v>144</v>
      </c>
      <c r="F256" s="131"/>
      <c r="G256" s="132"/>
      <c r="H256" s="133" t="s">
        <v>8</v>
      </c>
      <c r="I256" s="142">
        <f t="shared" si="91"/>
        <v>1030</v>
      </c>
      <c r="J256" s="142">
        <v>1030</v>
      </c>
      <c r="K256" s="144"/>
      <c r="L256" s="149">
        <f t="shared" si="92"/>
        <v>32913.899999999994</v>
      </c>
      <c r="M256" s="149">
        <v>32913.899999999994</v>
      </c>
      <c r="N256" s="149"/>
    </row>
    <row r="257" spans="1:14" s="54" customFormat="1" ht="15.75" x14ac:dyDescent="0.25">
      <c r="A257" s="124" t="e">
        <f t="shared" si="72"/>
        <v>#REF!</v>
      </c>
      <c r="C257" s="56" t="str">
        <f t="shared" si="87"/>
        <v>ОГАУЗ "ТОКБ"</v>
      </c>
      <c r="D257" s="58"/>
      <c r="E257" s="170">
        <v>144</v>
      </c>
      <c r="F257" s="131"/>
      <c r="G257" s="132"/>
      <c r="H257" s="133" t="s">
        <v>217</v>
      </c>
      <c r="I257" s="142">
        <f t="shared" si="91"/>
        <v>348</v>
      </c>
      <c r="J257" s="142">
        <v>348</v>
      </c>
      <c r="K257" s="144"/>
      <c r="L257" s="149">
        <f t="shared" si="92"/>
        <v>5849.7</v>
      </c>
      <c r="M257" s="149">
        <v>5849.7</v>
      </c>
      <c r="N257" s="149"/>
    </row>
    <row r="258" spans="1:14" s="54" customFormat="1" ht="15.75" x14ac:dyDescent="0.25">
      <c r="A258" s="124" t="e">
        <f t="shared" si="72"/>
        <v>#REF!</v>
      </c>
      <c r="C258" s="56" t="str">
        <f t="shared" si="87"/>
        <v>ОГАУЗ "ТОКБ"</v>
      </c>
      <c r="D258" s="58"/>
      <c r="E258" s="170">
        <v>144</v>
      </c>
      <c r="F258" s="131"/>
      <c r="G258" s="132"/>
      <c r="H258" s="133" t="s">
        <v>477</v>
      </c>
      <c r="I258" s="142">
        <f t="shared" si="91"/>
        <v>654</v>
      </c>
      <c r="J258" s="142">
        <v>604</v>
      </c>
      <c r="K258" s="144">
        <v>50</v>
      </c>
      <c r="L258" s="149">
        <f t="shared" si="92"/>
        <v>52057.599999999991</v>
      </c>
      <c r="M258" s="149">
        <v>39292.299999999996</v>
      </c>
      <c r="N258" s="149">
        <v>12765.3</v>
      </c>
    </row>
    <row r="259" spans="1:14" s="54" customFormat="1" ht="15.75" x14ac:dyDescent="0.25">
      <c r="A259" s="124" t="e">
        <f t="shared" ref="A259:A311" si="93">A258</f>
        <v>#REF!</v>
      </c>
      <c r="C259" s="56" t="str">
        <f t="shared" si="87"/>
        <v>ОГАУЗ "ТОКБ"</v>
      </c>
      <c r="D259" s="58"/>
      <c r="E259" s="170">
        <v>144</v>
      </c>
      <c r="F259" s="131"/>
      <c r="G259" s="132"/>
      <c r="H259" s="133" t="s">
        <v>5</v>
      </c>
      <c r="I259" s="142">
        <f t="shared" si="91"/>
        <v>1334</v>
      </c>
      <c r="J259" s="142">
        <v>424</v>
      </c>
      <c r="K259" s="144">
        <v>910</v>
      </c>
      <c r="L259" s="149">
        <f t="shared" si="92"/>
        <v>266601.3</v>
      </c>
      <c r="M259" s="149">
        <v>39214.699999999997</v>
      </c>
      <c r="N259" s="149">
        <v>227386.6</v>
      </c>
    </row>
    <row r="260" spans="1:14" s="54" customFormat="1" ht="15.75" x14ac:dyDescent="0.25">
      <c r="A260" s="124" t="e">
        <f t="shared" si="93"/>
        <v>#REF!</v>
      </c>
      <c r="B260" s="247"/>
      <c r="C260" s="56" t="str">
        <f t="shared" si="87"/>
        <v>ОГАУЗ "ТОКБ"</v>
      </c>
      <c r="D260" s="58"/>
      <c r="E260" s="170">
        <v>144</v>
      </c>
      <c r="F260" s="131"/>
      <c r="G260" s="132"/>
      <c r="H260" s="133" t="s">
        <v>13</v>
      </c>
      <c r="I260" s="142">
        <f t="shared" si="91"/>
        <v>1052</v>
      </c>
      <c r="J260" s="142">
        <v>1026</v>
      </c>
      <c r="K260" s="144">
        <f>53-27</f>
        <v>26</v>
      </c>
      <c r="L260" s="149">
        <f t="shared" si="92"/>
        <v>94527.9</v>
      </c>
      <c r="M260" s="149">
        <v>91048.7</v>
      </c>
      <c r="N260" s="149">
        <f>7002.6-3523.4</f>
        <v>3479.2000000000003</v>
      </c>
    </row>
    <row r="261" spans="1:14" s="54" customFormat="1" ht="16.5" customHeight="1" x14ac:dyDescent="0.25">
      <c r="A261" s="124" t="e">
        <f t="shared" si="93"/>
        <v>#REF!</v>
      </c>
      <c r="B261" s="62"/>
      <c r="C261" s="56" t="str">
        <f t="shared" si="87"/>
        <v>ОГАУЗ "ТОКБ"</v>
      </c>
      <c r="D261" s="58"/>
      <c r="E261" s="170">
        <v>144</v>
      </c>
      <c r="F261" s="131"/>
      <c r="G261" s="132"/>
      <c r="H261" s="133" t="s">
        <v>4</v>
      </c>
      <c r="I261" s="142">
        <f t="shared" si="91"/>
        <v>2333</v>
      </c>
      <c r="J261" s="142">
        <v>2248</v>
      </c>
      <c r="K261" s="144">
        <v>85</v>
      </c>
      <c r="L261" s="149">
        <f t="shared" si="92"/>
        <v>217055.1</v>
      </c>
      <c r="M261" s="149">
        <v>196185.60000000001</v>
      </c>
      <c r="N261" s="149">
        <v>20869.5</v>
      </c>
    </row>
    <row r="262" spans="1:14" s="54" customFormat="1" ht="15.75" x14ac:dyDescent="0.25">
      <c r="A262" s="124" t="e">
        <f t="shared" si="93"/>
        <v>#REF!</v>
      </c>
      <c r="C262" s="56" t="str">
        <f t="shared" si="87"/>
        <v>ОГАУЗ "ТОКБ"</v>
      </c>
      <c r="D262" s="58"/>
      <c r="E262" s="170">
        <v>144</v>
      </c>
      <c r="F262" s="131"/>
      <c r="G262" s="132"/>
      <c r="H262" s="133" t="s">
        <v>195</v>
      </c>
      <c r="I262" s="142">
        <f t="shared" si="91"/>
        <v>182</v>
      </c>
      <c r="J262" s="142">
        <v>158</v>
      </c>
      <c r="K262" s="144">
        <v>24</v>
      </c>
      <c r="L262" s="149">
        <f t="shared" si="92"/>
        <v>65887.600000000006</v>
      </c>
      <c r="M262" s="149">
        <v>33003.300000000003</v>
      </c>
      <c r="N262" s="149">
        <v>32884.300000000003</v>
      </c>
    </row>
    <row r="263" spans="1:14" s="54" customFormat="1" ht="15.75" x14ac:dyDescent="0.25">
      <c r="A263" s="124" t="e">
        <f t="shared" si="93"/>
        <v>#REF!</v>
      </c>
      <c r="C263" s="56" t="str">
        <f t="shared" si="87"/>
        <v>ОГАУЗ "ТОКБ"</v>
      </c>
      <c r="D263" s="58"/>
      <c r="E263" s="170">
        <v>144</v>
      </c>
      <c r="F263" s="131"/>
      <c r="G263" s="132"/>
      <c r="H263" s="133" t="s">
        <v>41</v>
      </c>
      <c r="I263" s="142">
        <f t="shared" si="91"/>
        <v>1410</v>
      </c>
      <c r="J263" s="142">
        <v>1390</v>
      </c>
      <c r="K263" s="144">
        <v>20</v>
      </c>
      <c r="L263" s="149">
        <f t="shared" si="92"/>
        <v>94131.500000000015</v>
      </c>
      <c r="M263" s="149">
        <v>90514.900000000009</v>
      </c>
      <c r="N263" s="149">
        <v>3616.6</v>
      </c>
    </row>
    <row r="264" spans="1:14" s="54" customFormat="1" ht="15.75" x14ac:dyDescent="0.25">
      <c r="A264" s="124" t="e">
        <f t="shared" si="93"/>
        <v>#REF!</v>
      </c>
      <c r="B264" s="248"/>
      <c r="C264" s="56" t="str">
        <f t="shared" si="87"/>
        <v>ОГАУЗ "ТОКБ"</v>
      </c>
      <c r="D264" s="58"/>
      <c r="E264" s="170">
        <v>144</v>
      </c>
      <c r="F264" s="131"/>
      <c r="G264" s="134"/>
      <c r="H264" s="133" t="s">
        <v>210</v>
      </c>
      <c r="I264" s="142">
        <f t="shared" si="91"/>
        <v>760</v>
      </c>
      <c r="J264" s="142">
        <v>740</v>
      </c>
      <c r="K264" s="142">
        <v>20</v>
      </c>
      <c r="L264" s="149">
        <f t="shared" si="92"/>
        <v>65548</v>
      </c>
      <c r="M264" s="149">
        <v>60430.5</v>
      </c>
      <c r="N264" s="149">
        <v>5117.5</v>
      </c>
    </row>
    <row r="265" spans="1:14" s="54" customFormat="1" ht="15.75" x14ac:dyDescent="0.25">
      <c r="A265" s="124" t="e">
        <f t="shared" si="93"/>
        <v>#REF!</v>
      </c>
      <c r="B265" s="248">
        <v>144</v>
      </c>
      <c r="C265" s="56" t="str">
        <f t="shared" si="87"/>
        <v>ОГАУЗ "ТОКБ"</v>
      </c>
      <c r="D265" s="58"/>
      <c r="E265" s="170">
        <v>144</v>
      </c>
      <c r="F265" s="131"/>
      <c r="G265" s="134"/>
      <c r="H265" s="133" t="s">
        <v>201</v>
      </c>
      <c r="I265" s="142">
        <f t="shared" si="91"/>
        <v>495</v>
      </c>
      <c r="J265" s="142">
        <v>495</v>
      </c>
      <c r="K265" s="142"/>
      <c r="L265" s="149">
        <f t="shared" si="92"/>
        <v>67359.199999999997</v>
      </c>
      <c r="M265" s="149">
        <v>67359.199999999997</v>
      </c>
      <c r="N265" s="149"/>
    </row>
    <row r="266" spans="1:14" s="54" customFormat="1" ht="15.75" x14ac:dyDescent="0.25">
      <c r="A266" s="124" t="e">
        <f t="shared" si="93"/>
        <v>#REF!</v>
      </c>
      <c r="B266" s="248">
        <v>144</v>
      </c>
      <c r="C266" s="56" t="str">
        <f t="shared" si="87"/>
        <v>ОГАУЗ "ТОКБ"</v>
      </c>
      <c r="D266" s="58">
        <v>144</v>
      </c>
      <c r="E266" s="170">
        <v>144</v>
      </c>
      <c r="F266" s="131"/>
      <c r="G266" s="153"/>
      <c r="H266" s="179" t="s">
        <v>188</v>
      </c>
      <c r="I266" s="155">
        <f>ROUND(I239+I240+I241+I242+I243+I244+I245+I246+I247+I249+I250+I251+I252+I253+I254+I255+I256+I257+I258+I259+I260+I261+I262+I263+I264+I265,1)</f>
        <v>27065</v>
      </c>
      <c r="J266" s="155">
        <f>ROUND(J239+J240+J241+J242+J243+J244+J245+J246+J247+J249+J250+J251+J252+J253+J254+J255+J256+J257+J258+J259+J260+J261+J262+J263+J264+J265,1)</f>
        <v>23746</v>
      </c>
      <c r="K266" s="155">
        <f t="shared" ref="K266:N266" si="94">ROUND(K239+K240+K241+K242+K243+K244+K245+K246+K247+K249+K250+K251+K252+K253+K254+K255+K256+K257+K258+K259+K260+K261+K262+K263+K264+K265,1)</f>
        <v>3319</v>
      </c>
      <c r="L266" s="156">
        <f t="shared" si="94"/>
        <v>3009175.8</v>
      </c>
      <c r="M266" s="156">
        <f t="shared" si="94"/>
        <v>2057924.9</v>
      </c>
      <c r="N266" s="156">
        <f t="shared" si="94"/>
        <v>951250.9</v>
      </c>
    </row>
    <row r="267" spans="1:14" s="54" customFormat="1" ht="15.75" x14ac:dyDescent="0.25">
      <c r="A267" s="124"/>
      <c r="B267" s="248"/>
      <c r="C267" s="56"/>
      <c r="D267" s="58"/>
      <c r="E267" s="170"/>
      <c r="F267" s="137">
        <v>26</v>
      </c>
      <c r="G267" s="433" t="s">
        <v>218</v>
      </c>
      <c r="H267" s="434"/>
      <c r="I267" s="143"/>
      <c r="J267" s="143"/>
      <c r="K267" s="143"/>
      <c r="L267" s="148"/>
      <c r="M267" s="148"/>
      <c r="N267" s="148"/>
    </row>
    <row r="268" spans="1:14" s="54" customFormat="1" ht="15.75" x14ac:dyDescent="0.25">
      <c r="A268" s="124" t="e">
        <f>A266</f>
        <v>#REF!</v>
      </c>
      <c r="B268" s="248">
        <v>144</v>
      </c>
      <c r="C268" s="56" t="str">
        <f>VLOOKUP(E268,$F$12:$G$336,2,0)</f>
        <v>ОГБУЗ "ТОКВД"</v>
      </c>
      <c r="D268" s="58"/>
      <c r="E268" s="170">
        <v>26</v>
      </c>
      <c r="F268" s="137"/>
      <c r="G268" s="152"/>
      <c r="H268" s="122" t="s">
        <v>37</v>
      </c>
      <c r="I268" s="142">
        <f>J268+K268</f>
        <v>830</v>
      </c>
      <c r="J268" s="142">
        <v>830</v>
      </c>
      <c r="K268" s="144"/>
      <c r="L268" s="149">
        <f>M268+N268</f>
        <v>54530</v>
      </c>
      <c r="M268" s="149">
        <v>54530</v>
      </c>
      <c r="N268" s="149"/>
    </row>
    <row r="269" spans="1:14" s="54" customFormat="1" ht="15.75" x14ac:dyDescent="0.25">
      <c r="A269" s="124" t="e">
        <f t="shared" si="93"/>
        <v>#REF!</v>
      </c>
      <c r="C269" s="56" t="str">
        <f>VLOOKUP(E269,$F$12:$G$336,2,0)</f>
        <v>ОГБУЗ "ТОКВД"</v>
      </c>
      <c r="D269" s="58">
        <v>26</v>
      </c>
      <c r="E269" s="170">
        <v>26</v>
      </c>
      <c r="F269" s="137"/>
      <c r="G269" s="157"/>
      <c r="H269" s="234" t="s">
        <v>188</v>
      </c>
      <c r="I269" s="155">
        <f>ROUND(I268,0)</f>
        <v>830</v>
      </c>
      <c r="J269" s="155">
        <f>ROUND(J268,0)</f>
        <v>830</v>
      </c>
      <c r="K269" s="155">
        <f>ROUND(K268,0)</f>
        <v>0</v>
      </c>
      <c r="L269" s="156">
        <f t="shared" ref="L269:N269" si="95">ROUND(L268,1)</f>
        <v>54530</v>
      </c>
      <c r="M269" s="156">
        <f t="shared" si="95"/>
        <v>54530</v>
      </c>
      <c r="N269" s="156">
        <f t="shared" si="95"/>
        <v>0</v>
      </c>
    </row>
    <row r="270" spans="1:14" s="54" customFormat="1" ht="15.75" x14ac:dyDescent="0.25">
      <c r="A270" s="124"/>
      <c r="C270" s="56"/>
      <c r="D270" s="58"/>
      <c r="E270" s="170"/>
      <c r="F270" s="137">
        <v>83</v>
      </c>
      <c r="G270" s="433" t="s">
        <v>108</v>
      </c>
      <c r="H270" s="434"/>
      <c r="I270" s="143"/>
      <c r="J270" s="143"/>
      <c r="K270" s="143"/>
      <c r="L270" s="148"/>
      <c r="M270" s="148"/>
      <c r="N270" s="148"/>
    </row>
    <row r="271" spans="1:14" s="54" customFormat="1" ht="90" x14ac:dyDescent="0.25">
      <c r="A271" s="124" t="e">
        <f>A269</f>
        <v>#REF!</v>
      </c>
      <c r="C271" s="56" t="str">
        <f>VLOOKUP(E271,$F$12:$G$336,2,0)</f>
        <v xml:space="preserve">ОГАУЗ "Томская РБ" </v>
      </c>
      <c r="D271" s="58"/>
      <c r="E271" s="170">
        <v>83</v>
      </c>
      <c r="F271" s="137"/>
      <c r="G271" s="134"/>
      <c r="H271" s="135" t="s">
        <v>479</v>
      </c>
      <c r="I271" s="142">
        <f t="shared" ref="I271:I274" si="96">J271+K271</f>
        <v>300</v>
      </c>
      <c r="J271" s="142">
        <v>300</v>
      </c>
      <c r="K271" s="144"/>
      <c r="L271" s="149">
        <f t="shared" ref="L271:L274" si="97">M271+N271</f>
        <v>22318.7</v>
      </c>
      <c r="M271" s="149">
        <v>22318.7</v>
      </c>
      <c r="N271" s="149"/>
    </row>
    <row r="272" spans="1:14" s="54" customFormat="1" ht="15.75" x14ac:dyDescent="0.25">
      <c r="A272" s="124" t="e">
        <f t="shared" si="93"/>
        <v>#REF!</v>
      </c>
      <c r="C272" s="56" t="str">
        <f>VLOOKUP(E272,$F$12:$G$336,2,0)</f>
        <v xml:space="preserve">ОГАУЗ "Томская РБ" </v>
      </c>
      <c r="D272" s="58"/>
      <c r="E272" s="170">
        <v>83</v>
      </c>
      <c r="F272" s="137"/>
      <c r="G272" s="132"/>
      <c r="H272" s="133" t="s">
        <v>8</v>
      </c>
      <c r="I272" s="142">
        <f t="shared" si="96"/>
        <v>1441</v>
      </c>
      <c r="J272" s="142">
        <f>1560+60-179</f>
        <v>1441</v>
      </c>
      <c r="K272" s="144"/>
      <c r="L272" s="149">
        <f t="shared" si="97"/>
        <v>134028.09999999998</v>
      </c>
      <c r="M272" s="149">
        <f>241701.3-16692.9-90980.3</f>
        <v>134028.09999999998</v>
      </c>
      <c r="N272" s="149"/>
    </row>
    <row r="273" spans="1:14" s="54" customFormat="1" ht="15.75" x14ac:dyDescent="0.25">
      <c r="A273" s="124" t="e">
        <f t="shared" si="93"/>
        <v>#REF!</v>
      </c>
      <c r="C273" s="56" t="str">
        <f>VLOOKUP(E273,$F$12:$G$336,2,0)</f>
        <v xml:space="preserve">ОГАУЗ "Томская РБ" </v>
      </c>
      <c r="D273" s="58"/>
      <c r="E273" s="170">
        <v>83</v>
      </c>
      <c r="F273" s="137"/>
      <c r="G273" s="132"/>
      <c r="H273" s="133" t="s">
        <v>5</v>
      </c>
      <c r="I273" s="142">
        <f t="shared" si="96"/>
        <v>190</v>
      </c>
      <c r="J273" s="142">
        <v>190</v>
      </c>
      <c r="K273" s="144"/>
      <c r="L273" s="149">
        <f t="shared" si="97"/>
        <v>9225.1</v>
      </c>
      <c r="M273" s="149">
        <v>9225.1</v>
      </c>
      <c r="N273" s="149"/>
    </row>
    <row r="274" spans="1:14" s="54" customFormat="1" ht="15.75" x14ac:dyDescent="0.25">
      <c r="A274" s="124" t="e">
        <f t="shared" si="93"/>
        <v>#REF!</v>
      </c>
      <c r="C274" s="56" t="str">
        <f>VLOOKUP(E274,$F$12:$G$336,2,0)</f>
        <v xml:space="preserve">ОГАУЗ "Томская РБ" </v>
      </c>
      <c r="D274" s="58"/>
      <c r="E274" s="170">
        <v>83</v>
      </c>
      <c r="F274" s="137"/>
      <c r="G274" s="132"/>
      <c r="H274" s="133" t="s">
        <v>4</v>
      </c>
      <c r="I274" s="142">
        <f t="shared" si="96"/>
        <v>792</v>
      </c>
      <c r="J274" s="142">
        <v>792</v>
      </c>
      <c r="K274" s="144"/>
      <c r="L274" s="149">
        <f t="shared" si="97"/>
        <v>49527.5</v>
      </c>
      <c r="M274" s="149">
        <v>49527.5</v>
      </c>
      <c r="N274" s="149"/>
    </row>
    <row r="275" spans="1:14" s="54" customFormat="1" ht="15.75" x14ac:dyDescent="0.25">
      <c r="A275" s="124" t="e">
        <f t="shared" si="93"/>
        <v>#REF!</v>
      </c>
      <c r="C275" s="56" t="str">
        <f>VLOOKUP(E275,$F$12:$G$336,2,0)</f>
        <v xml:space="preserve">ОГАУЗ "Томская РБ" </v>
      </c>
      <c r="D275" s="58">
        <v>83</v>
      </c>
      <c r="E275" s="170">
        <v>83</v>
      </c>
      <c r="F275" s="137"/>
      <c r="G275" s="157"/>
      <c r="H275" s="179" t="s">
        <v>188</v>
      </c>
      <c r="I275" s="155">
        <f>ROUND(I271+I272+I273+I274,0)</f>
        <v>2723</v>
      </c>
      <c r="J275" s="155">
        <f>ROUND(J271+J272+J273+J274,0)</f>
        <v>2723</v>
      </c>
      <c r="K275" s="155">
        <f>ROUND(K271+K272+K273+K274,0)</f>
        <v>0</v>
      </c>
      <c r="L275" s="156">
        <f t="shared" ref="L275:N275" si="98">ROUND(L271+L272+L273+L274,1)</f>
        <v>215099.4</v>
      </c>
      <c r="M275" s="156">
        <f t="shared" si="98"/>
        <v>215099.4</v>
      </c>
      <c r="N275" s="156">
        <f t="shared" si="98"/>
        <v>0</v>
      </c>
    </row>
    <row r="276" spans="1:14" s="54" customFormat="1" ht="15.75" x14ac:dyDescent="0.25">
      <c r="A276" s="124"/>
      <c r="C276" s="56"/>
      <c r="D276" s="58"/>
      <c r="E276" s="170"/>
      <c r="F276" s="137">
        <v>188</v>
      </c>
      <c r="G276" s="433" t="s">
        <v>109</v>
      </c>
      <c r="H276" s="434"/>
      <c r="I276" s="143"/>
      <c r="J276" s="143"/>
      <c r="K276" s="143"/>
      <c r="L276" s="148"/>
      <c r="M276" s="148"/>
      <c r="N276" s="148"/>
    </row>
    <row r="277" spans="1:14" s="54" customFormat="1" ht="15.75" x14ac:dyDescent="0.25">
      <c r="A277" s="124" t="e">
        <f>A275</f>
        <v>#REF!</v>
      </c>
      <c r="C277" s="56" t="str">
        <f>VLOOKUP(E277,$F$12:$G$336,2,0)</f>
        <v xml:space="preserve">ОГАУЗ "ТООД" </v>
      </c>
      <c r="D277" s="58"/>
      <c r="E277" s="170">
        <v>188</v>
      </c>
      <c r="F277" s="137"/>
      <c r="G277" s="134"/>
      <c r="H277" s="122" t="s">
        <v>19</v>
      </c>
      <c r="I277" s="142">
        <f t="shared" ref="I277:I279" si="99">J277+K277</f>
        <v>8557</v>
      </c>
      <c r="J277" s="142">
        <v>7947</v>
      </c>
      <c r="K277" s="144">
        <v>610</v>
      </c>
      <c r="L277" s="149">
        <f t="shared" ref="L277:L279" si="100">M277+N277</f>
        <v>1121449.7</v>
      </c>
      <c r="M277" s="149">
        <f>760058.3+197204.6</f>
        <v>957262.9</v>
      </c>
      <c r="N277" s="149">
        <v>164186.79999999999</v>
      </c>
    </row>
    <row r="278" spans="1:14" s="54" customFormat="1" ht="15.75" x14ac:dyDescent="0.25">
      <c r="A278" s="124" t="e">
        <f t="shared" si="93"/>
        <v>#REF!</v>
      </c>
      <c r="C278" s="56" t="str">
        <f>VLOOKUP(E278,$F$12:$G$336,2,0)</f>
        <v xml:space="preserve">ОГАУЗ "ТООД" </v>
      </c>
      <c r="D278" s="58"/>
      <c r="E278" s="170">
        <v>188</v>
      </c>
      <c r="F278" s="137"/>
      <c r="G278" s="132"/>
      <c r="H278" s="133" t="s">
        <v>220</v>
      </c>
      <c r="I278" s="142">
        <f t="shared" si="99"/>
        <v>317</v>
      </c>
      <c r="J278" s="142">
        <v>317</v>
      </c>
      <c r="K278" s="144"/>
      <c r="L278" s="149">
        <f t="shared" si="100"/>
        <v>44276.1</v>
      </c>
      <c r="M278" s="149">
        <v>44276.1</v>
      </c>
      <c r="N278" s="149"/>
    </row>
    <row r="279" spans="1:14" s="54" customFormat="1" ht="15.75" x14ac:dyDescent="0.25">
      <c r="A279" s="124" t="e">
        <f t="shared" si="93"/>
        <v>#REF!</v>
      </c>
      <c r="C279" s="56" t="str">
        <f>VLOOKUP(E279,$F$12:$G$336,2,0)</f>
        <v xml:space="preserve">ОГАУЗ "ТООД" </v>
      </c>
      <c r="D279" s="58"/>
      <c r="E279" s="170">
        <v>188</v>
      </c>
      <c r="F279" s="137"/>
      <c r="G279" s="132"/>
      <c r="H279" s="133" t="s">
        <v>4</v>
      </c>
      <c r="I279" s="142">
        <f t="shared" si="99"/>
        <v>1500</v>
      </c>
      <c r="J279" s="142">
        <v>1500</v>
      </c>
      <c r="K279" s="144"/>
      <c r="L279" s="149">
        <f t="shared" si="100"/>
        <v>37725.5</v>
      </c>
      <c r="M279" s="149">
        <f>234930.1-197204.6</f>
        <v>37725.5</v>
      </c>
      <c r="N279" s="149"/>
    </row>
    <row r="280" spans="1:14" s="54" customFormat="1" ht="15.75" x14ac:dyDescent="0.25">
      <c r="A280" s="124" t="e">
        <f t="shared" si="93"/>
        <v>#REF!</v>
      </c>
      <c r="C280" s="56" t="str">
        <f>VLOOKUP(E280,$F$12:$G$336,2,0)</f>
        <v xml:space="preserve">ОГАУЗ "ТООД" </v>
      </c>
      <c r="D280" s="58">
        <v>188</v>
      </c>
      <c r="E280" s="170">
        <v>188</v>
      </c>
      <c r="F280" s="137"/>
      <c r="G280" s="157"/>
      <c r="H280" s="179" t="s">
        <v>188</v>
      </c>
      <c r="I280" s="155">
        <f>ROUND(I277+I278+I279,0)</f>
        <v>10374</v>
      </c>
      <c r="J280" s="155">
        <f>ROUND(J277+J278+J279,0)</f>
        <v>9764</v>
      </c>
      <c r="K280" s="155">
        <f>ROUND(K277+K278+K279,0)</f>
        <v>610</v>
      </c>
      <c r="L280" s="156">
        <f t="shared" ref="L280:N280" si="101">ROUND(L277+L278+L279,1)</f>
        <v>1203451.3</v>
      </c>
      <c r="M280" s="156">
        <f t="shared" si="101"/>
        <v>1039264.5</v>
      </c>
      <c r="N280" s="156">
        <f t="shared" si="101"/>
        <v>164186.79999999999</v>
      </c>
    </row>
    <row r="281" spans="1:14" s="54" customFormat="1" ht="15.75" x14ac:dyDescent="0.25">
      <c r="A281" s="124"/>
      <c r="C281" s="56"/>
      <c r="D281" s="58"/>
      <c r="E281" s="170"/>
      <c r="F281" s="137">
        <v>85</v>
      </c>
      <c r="G281" s="235" t="s">
        <v>110</v>
      </c>
      <c r="H281" s="119"/>
      <c r="I281" s="143"/>
      <c r="J281" s="143"/>
      <c r="K281" s="143"/>
      <c r="L281" s="148"/>
      <c r="M281" s="148"/>
      <c r="N281" s="148"/>
    </row>
    <row r="282" spans="1:14" s="54" customFormat="1" ht="60" x14ac:dyDescent="0.25">
      <c r="A282" s="124" t="e">
        <f>A280</f>
        <v>#REF!</v>
      </c>
      <c r="C282" s="56" t="str">
        <f t="shared" ref="C282:C297" si="102">VLOOKUP(E282,$F$12:$G$336,2,0)</f>
        <v xml:space="preserve">ОГБУЗ "Чаинская РБ" </v>
      </c>
      <c r="D282" s="58"/>
      <c r="E282" s="170">
        <v>85</v>
      </c>
      <c r="F282" s="137"/>
      <c r="G282" s="134"/>
      <c r="H282" s="135" t="s">
        <v>480</v>
      </c>
      <c r="I282" s="142">
        <f t="shared" ref="I282:I288" si="103">J282+K282</f>
        <v>151</v>
      </c>
      <c r="J282" s="142">
        <v>151</v>
      </c>
      <c r="K282" s="144"/>
      <c r="L282" s="149">
        <f t="shared" ref="L282:L288" si="104">M282+N282</f>
        <v>3043.6</v>
      </c>
      <c r="M282" s="149">
        <v>3043.6</v>
      </c>
      <c r="N282" s="149"/>
    </row>
    <row r="283" spans="1:14" s="54" customFormat="1" ht="30" x14ac:dyDescent="0.25">
      <c r="A283" s="124" t="e">
        <f t="shared" si="93"/>
        <v>#REF!</v>
      </c>
      <c r="C283" s="56" t="str">
        <f t="shared" si="102"/>
        <v xml:space="preserve">ОГБУЗ "Чаинская РБ" </v>
      </c>
      <c r="D283" s="58"/>
      <c r="E283" s="170">
        <v>85</v>
      </c>
      <c r="F283" s="137"/>
      <c r="G283" s="132"/>
      <c r="H283" s="140" t="s">
        <v>187</v>
      </c>
      <c r="I283" s="142">
        <f t="shared" si="103"/>
        <v>6</v>
      </c>
      <c r="J283" s="142">
        <v>6</v>
      </c>
      <c r="K283" s="144"/>
      <c r="L283" s="149">
        <f t="shared" si="104"/>
        <v>373.2</v>
      </c>
      <c r="M283" s="149">
        <v>373.2</v>
      </c>
      <c r="N283" s="149"/>
    </row>
    <row r="284" spans="1:14" s="54" customFormat="1" ht="30" x14ac:dyDescent="0.25">
      <c r="A284" s="124" t="e">
        <f t="shared" si="93"/>
        <v>#REF!</v>
      </c>
      <c r="C284" s="56" t="str">
        <f t="shared" si="102"/>
        <v xml:space="preserve">ОГБУЗ "Чаинская РБ" </v>
      </c>
      <c r="D284" s="58"/>
      <c r="E284" s="170">
        <v>85</v>
      </c>
      <c r="F284" s="137"/>
      <c r="G284" s="132"/>
      <c r="H284" s="140" t="s">
        <v>374</v>
      </c>
      <c r="I284" s="142">
        <f t="shared" si="103"/>
        <v>14</v>
      </c>
      <c r="J284" s="142">
        <v>14</v>
      </c>
      <c r="K284" s="144"/>
      <c r="L284" s="149">
        <f t="shared" si="104"/>
        <v>931.1</v>
      </c>
      <c r="M284" s="149">
        <v>931.1</v>
      </c>
      <c r="N284" s="149"/>
    </row>
    <row r="285" spans="1:14" s="54" customFormat="1" ht="15.75" x14ac:dyDescent="0.25">
      <c r="A285" s="124" t="e">
        <f>#REF!</f>
        <v>#REF!</v>
      </c>
      <c r="C285" s="56" t="str">
        <f t="shared" si="102"/>
        <v xml:space="preserve">ОГБУЗ "Чаинская РБ" </v>
      </c>
      <c r="D285" s="58"/>
      <c r="E285" s="170">
        <v>85</v>
      </c>
      <c r="F285" s="137"/>
      <c r="G285" s="132"/>
      <c r="H285" s="133" t="s">
        <v>6</v>
      </c>
      <c r="I285" s="142">
        <f t="shared" si="103"/>
        <v>262</v>
      </c>
      <c r="J285" s="142">
        <v>262</v>
      </c>
      <c r="K285" s="144"/>
      <c r="L285" s="149">
        <f t="shared" si="104"/>
        <v>19020.3</v>
      </c>
      <c r="M285" s="149">
        <v>19020.3</v>
      </c>
      <c r="N285" s="149"/>
    </row>
    <row r="286" spans="1:14" s="54" customFormat="1" ht="15.75" x14ac:dyDescent="0.25">
      <c r="A286" s="124" t="e">
        <f t="shared" si="93"/>
        <v>#REF!</v>
      </c>
      <c r="C286" s="56" t="str">
        <f t="shared" si="102"/>
        <v xml:space="preserve">ОГБУЗ "Чаинская РБ" </v>
      </c>
      <c r="D286" s="58"/>
      <c r="E286" s="170">
        <v>85</v>
      </c>
      <c r="F286" s="137"/>
      <c r="G286" s="132"/>
      <c r="H286" s="133" t="s">
        <v>7</v>
      </c>
      <c r="I286" s="142">
        <f t="shared" si="103"/>
        <v>251</v>
      </c>
      <c r="J286" s="142">
        <v>251</v>
      </c>
      <c r="K286" s="144"/>
      <c r="L286" s="149">
        <f t="shared" si="104"/>
        <v>19336.599999999999</v>
      </c>
      <c r="M286" s="149">
        <v>19336.599999999999</v>
      </c>
      <c r="N286" s="149"/>
    </row>
    <row r="287" spans="1:14" s="54" customFormat="1" ht="15.75" x14ac:dyDescent="0.25">
      <c r="A287" s="124" t="e">
        <f t="shared" si="93"/>
        <v>#REF!</v>
      </c>
      <c r="C287" s="56" t="str">
        <f t="shared" si="102"/>
        <v xml:space="preserve">ОГБУЗ "Чаинская РБ" </v>
      </c>
      <c r="D287" s="58"/>
      <c r="E287" s="170">
        <v>85</v>
      </c>
      <c r="F287" s="137"/>
      <c r="G287" s="132"/>
      <c r="H287" s="133" t="s">
        <v>8</v>
      </c>
      <c r="I287" s="142">
        <f t="shared" si="103"/>
        <v>789</v>
      </c>
      <c r="J287" s="142">
        <v>789</v>
      </c>
      <c r="K287" s="144"/>
      <c r="L287" s="149">
        <f t="shared" si="104"/>
        <v>49050</v>
      </c>
      <c r="M287" s="149">
        <v>49050</v>
      </c>
      <c r="N287" s="149"/>
    </row>
    <row r="288" spans="1:14" s="54" customFormat="1" ht="15.75" x14ac:dyDescent="0.25">
      <c r="A288" s="124" t="e">
        <f t="shared" si="93"/>
        <v>#REF!</v>
      </c>
      <c r="C288" s="56" t="str">
        <f t="shared" si="102"/>
        <v xml:space="preserve">ОГБУЗ "Чаинская РБ" </v>
      </c>
      <c r="D288" s="58"/>
      <c r="E288" s="170">
        <v>85</v>
      </c>
      <c r="F288" s="137"/>
      <c r="G288" s="132"/>
      <c r="H288" s="133" t="s">
        <v>4</v>
      </c>
      <c r="I288" s="142">
        <f t="shared" si="103"/>
        <v>475</v>
      </c>
      <c r="J288" s="142">
        <v>475</v>
      </c>
      <c r="K288" s="144"/>
      <c r="L288" s="149">
        <f t="shared" si="104"/>
        <v>31208.100000000002</v>
      </c>
      <c r="M288" s="149">
        <v>31208.100000000002</v>
      </c>
      <c r="N288" s="149"/>
    </row>
    <row r="289" spans="1:14" s="54" customFormat="1" ht="15.75" x14ac:dyDescent="0.25">
      <c r="A289" s="124" t="e">
        <f t="shared" si="93"/>
        <v>#REF!</v>
      </c>
      <c r="C289" s="56" t="str">
        <f t="shared" si="102"/>
        <v xml:space="preserve">ОГБУЗ "Чаинская РБ" </v>
      </c>
      <c r="D289" s="58">
        <v>85</v>
      </c>
      <c r="E289" s="170">
        <v>85</v>
      </c>
      <c r="F289" s="137"/>
      <c r="G289" s="183"/>
      <c r="H289" s="154" t="s">
        <v>188</v>
      </c>
      <c r="I289" s="155">
        <f>ROUND(I282+I285+I286+I287+I288,1)</f>
        <v>1928</v>
      </c>
      <c r="J289" s="155">
        <f>ROUND(J282+J285+J286+J287+J288,1)</f>
        <v>1928</v>
      </c>
      <c r="K289" s="155">
        <f t="shared" ref="K289:N289" si="105">ROUND(K282+K285+K286+K287+K288,1)</f>
        <v>0</v>
      </c>
      <c r="L289" s="156">
        <f t="shared" si="105"/>
        <v>121658.6</v>
      </c>
      <c r="M289" s="156">
        <f t="shared" si="105"/>
        <v>121658.6</v>
      </c>
      <c r="N289" s="156">
        <f t="shared" si="105"/>
        <v>0</v>
      </c>
    </row>
    <row r="290" spans="1:14" s="54" customFormat="1" ht="18.75" customHeight="1" x14ac:dyDescent="0.25">
      <c r="A290" s="124" t="e">
        <f t="shared" si="93"/>
        <v>#REF!</v>
      </c>
      <c r="C290" s="56" t="str">
        <f t="shared" si="102"/>
        <v>ОГАУЗ "Шегарская РБ"</v>
      </c>
      <c r="D290" s="58"/>
      <c r="E290" s="170">
        <v>87</v>
      </c>
      <c r="F290" s="131">
        <v>87</v>
      </c>
      <c r="G290" s="433" t="s">
        <v>28</v>
      </c>
      <c r="H290" s="434"/>
      <c r="I290" s="142"/>
      <c r="J290" s="142"/>
      <c r="K290" s="144"/>
      <c r="L290" s="149"/>
      <c r="M290" s="149"/>
      <c r="N290" s="149"/>
    </row>
    <row r="291" spans="1:14" s="54" customFormat="1" ht="90" x14ac:dyDescent="0.25">
      <c r="A291" s="124" t="e">
        <f t="shared" si="93"/>
        <v>#REF!</v>
      </c>
      <c r="B291" s="247"/>
      <c r="C291" s="56" t="str">
        <f t="shared" si="102"/>
        <v>ОГАУЗ "Шегарская РБ"</v>
      </c>
      <c r="D291" s="58"/>
      <c r="E291" s="170">
        <v>87</v>
      </c>
      <c r="F291" s="131"/>
      <c r="G291" s="132"/>
      <c r="H291" s="135" t="s">
        <v>479</v>
      </c>
      <c r="I291" s="142">
        <f t="shared" ref="I291:I296" si="106">J291+K291</f>
        <v>125</v>
      </c>
      <c r="J291" s="142">
        <v>125</v>
      </c>
      <c r="K291" s="144"/>
      <c r="L291" s="149">
        <f t="shared" ref="L291:L296" si="107">M291+N291</f>
        <v>4561.8999999999996</v>
      </c>
      <c r="M291" s="149">
        <v>4561.8999999999996</v>
      </c>
      <c r="N291" s="149"/>
    </row>
    <row r="292" spans="1:14" s="54" customFormat="1" ht="17.25" customHeight="1" x14ac:dyDescent="0.25">
      <c r="A292" s="124" t="e">
        <f t="shared" si="93"/>
        <v>#REF!</v>
      </c>
      <c r="B292" s="62"/>
      <c r="C292" s="56" t="str">
        <f t="shared" si="102"/>
        <v>ОГАУЗ "Шегарская РБ"</v>
      </c>
      <c r="D292" s="58"/>
      <c r="E292" s="170">
        <v>87</v>
      </c>
      <c r="F292" s="131"/>
      <c r="G292" s="132"/>
      <c r="H292" s="133" t="s">
        <v>6</v>
      </c>
      <c r="I292" s="142">
        <f t="shared" si="106"/>
        <v>157</v>
      </c>
      <c r="J292" s="142">
        <v>157</v>
      </c>
      <c r="K292" s="144"/>
      <c r="L292" s="149">
        <f t="shared" si="107"/>
        <v>7082.3</v>
      </c>
      <c r="M292" s="149">
        <v>7082.3</v>
      </c>
      <c r="N292" s="149"/>
    </row>
    <row r="293" spans="1:14" s="54" customFormat="1" ht="15.75" x14ac:dyDescent="0.25">
      <c r="A293" s="124" t="e">
        <f t="shared" si="93"/>
        <v>#REF!</v>
      </c>
      <c r="C293" s="56" t="str">
        <f t="shared" si="102"/>
        <v>ОГАУЗ "Шегарская РБ"</v>
      </c>
      <c r="D293" s="58"/>
      <c r="E293" s="170">
        <v>87</v>
      </c>
      <c r="F293" s="131"/>
      <c r="G293" s="132"/>
      <c r="H293" s="133" t="s">
        <v>7</v>
      </c>
      <c r="I293" s="142">
        <f t="shared" si="106"/>
        <v>350</v>
      </c>
      <c r="J293" s="142">
        <v>350</v>
      </c>
      <c r="K293" s="144"/>
      <c r="L293" s="149">
        <f t="shared" si="107"/>
        <v>18266.8</v>
      </c>
      <c r="M293" s="149">
        <v>18266.8</v>
      </c>
      <c r="N293" s="149"/>
    </row>
    <row r="294" spans="1:14" s="54" customFormat="1" ht="15.75" x14ac:dyDescent="0.25">
      <c r="A294" s="124" t="e">
        <f t="shared" si="93"/>
        <v>#REF!</v>
      </c>
      <c r="B294" s="247"/>
      <c r="C294" s="56" t="str">
        <f t="shared" si="102"/>
        <v>ОГАУЗ "Шегарская РБ"</v>
      </c>
      <c r="D294" s="58"/>
      <c r="E294" s="170">
        <v>87</v>
      </c>
      <c r="F294" s="131"/>
      <c r="G294" s="132"/>
      <c r="H294" s="133" t="s">
        <v>8</v>
      </c>
      <c r="I294" s="142">
        <f t="shared" si="106"/>
        <v>1408</v>
      </c>
      <c r="J294" s="142">
        <v>1408</v>
      </c>
      <c r="K294" s="144"/>
      <c r="L294" s="149">
        <f t="shared" si="107"/>
        <v>69872.100000000006</v>
      </c>
      <c r="M294" s="149">
        <v>69872.100000000006</v>
      </c>
      <c r="N294" s="149"/>
    </row>
    <row r="295" spans="1:14" s="54" customFormat="1" ht="18" customHeight="1" x14ac:dyDescent="0.25">
      <c r="A295" s="124" t="e">
        <f t="shared" si="93"/>
        <v>#REF!</v>
      </c>
      <c r="B295" s="62"/>
      <c r="C295" s="56" t="str">
        <f t="shared" si="102"/>
        <v>ОГАУЗ "Шегарская РБ"</v>
      </c>
      <c r="D295" s="58"/>
      <c r="E295" s="170">
        <v>87</v>
      </c>
      <c r="F295" s="131"/>
      <c r="G295" s="132"/>
      <c r="H295" s="133" t="s">
        <v>5</v>
      </c>
      <c r="I295" s="142">
        <f t="shared" si="106"/>
        <v>38</v>
      </c>
      <c r="J295" s="142">
        <v>38</v>
      </c>
      <c r="K295" s="144"/>
      <c r="L295" s="149">
        <f t="shared" si="107"/>
        <v>1870.6</v>
      </c>
      <c r="M295" s="149">
        <v>1870.6</v>
      </c>
      <c r="N295" s="149"/>
    </row>
    <row r="296" spans="1:14" s="54" customFormat="1" ht="15.75" x14ac:dyDescent="0.25">
      <c r="A296" s="124" t="e">
        <f t="shared" si="93"/>
        <v>#REF!</v>
      </c>
      <c r="C296" s="56" t="str">
        <f t="shared" si="102"/>
        <v>ОГАУЗ "Шегарская РБ"</v>
      </c>
      <c r="D296" s="58"/>
      <c r="E296" s="170">
        <v>87</v>
      </c>
      <c r="F296" s="131"/>
      <c r="G296" s="132"/>
      <c r="H296" s="133" t="s">
        <v>4</v>
      </c>
      <c r="I296" s="142">
        <f t="shared" si="106"/>
        <v>200</v>
      </c>
      <c r="J296" s="142">
        <v>200</v>
      </c>
      <c r="K296" s="144"/>
      <c r="L296" s="149">
        <f t="shared" si="107"/>
        <v>12957.8</v>
      </c>
      <c r="M296" s="149">
        <v>12957.8</v>
      </c>
      <c r="N296" s="149"/>
    </row>
    <row r="297" spans="1:14" s="54" customFormat="1" ht="15.75" customHeight="1" x14ac:dyDescent="0.25">
      <c r="A297" s="124" t="e">
        <f t="shared" si="93"/>
        <v>#REF!</v>
      </c>
      <c r="C297" s="56" t="str">
        <f t="shared" si="102"/>
        <v>ОГАУЗ "Шегарская РБ"</v>
      </c>
      <c r="D297" s="58">
        <v>87</v>
      </c>
      <c r="E297" s="170">
        <v>87</v>
      </c>
      <c r="F297" s="131"/>
      <c r="G297" s="153"/>
      <c r="H297" s="179" t="s">
        <v>188</v>
      </c>
      <c r="I297" s="155">
        <f>ROUND(I290+I291+I292+I293+I294+I295+I296,0)</f>
        <v>2278</v>
      </c>
      <c r="J297" s="155">
        <f>ROUND(J290+J291+J292+J293+J294+J295+J296,0)</f>
        <v>2278</v>
      </c>
      <c r="K297" s="155">
        <f>ROUND(K290+K291+K292+K293+K294+K295+K296,0)</f>
        <v>0</v>
      </c>
      <c r="L297" s="156">
        <f t="shared" ref="L297:N297" si="108">ROUND(L290+L291+L292+L293+L294+L295+L296,1)</f>
        <v>114611.5</v>
      </c>
      <c r="M297" s="156">
        <f t="shared" si="108"/>
        <v>114611.5</v>
      </c>
      <c r="N297" s="156">
        <f t="shared" si="108"/>
        <v>0</v>
      </c>
    </row>
    <row r="298" spans="1:14" s="54" customFormat="1" ht="15.75" customHeight="1" x14ac:dyDescent="0.25">
      <c r="A298" s="124"/>
      <c r="C298" s="56"/>
      <c r="D298" s="58"/>
      <c r="E298" s="170"/>
      <c r="F298" s="137">
        <v>204</v>
      </c>
      <c r="G298" s="433" t="s">
        <v>101</v>
      </c>
      <c r="H298" s="434"/>
      <c r="I298" s="143"/>
      <c r="J298" s="143"/>
      <c r="K298" s="143"/>
      <c r="L298" s="148"/>
      <c r="M298" s="148"/>
      <c r="N298" s="148"/>
    </row>
    <row r="299" spans="1:14" s="54" customFormat="1" ht="15.75" x14ac:dyDescent="0.25">
      <c r="A299" s="124" t="e">
        <f>A297</f>
        <v>#REF!</v>
      </c>
      <c r="C299" s="56" t="str">
        <f>VLOOKUP(E299,$F$12:$G$336,2,0)</f>
        <v xml:space="preserve">АНО "НИИ микрохирургии" </v>
      </c>
      <c r="D299" s="58"/>
      <c r="E299" s="170">
        <v>204</v>
      </c>
      <c r="F299" s="137"/>
      <c r="G299" s="152"/>
      <c r="H299" s="122" t="s">
        <v>4</v>
      </c>
      <c r="I299" s="142">
        <f t="shared" ref="I299:I301" si="109">J299+K299</f>
        <v>791</v>
      </c>
      <c r="J299" s="142">
        <v>791</v>
      </c>
      <c r="K299" s="144"/>
      <c r="L299" s="149">
        <f t="shared" ref="L299:L301" si="110">M299+N299</f>
        <v>71155.900000000009</v>
      </c>
      <c r="M299" s="149">
        <v>71155.900000000009</v>
      </c>
      <c r="N299" s="149"/>
    </row>
    <row r="300" spans="1:14" s="54" customFormat="1" ht="15.75" x14ac:dyDescent="0.25">
      <c r="A300" s="124" t="e">
        <f t="shared" si="93"/>
        <v>#REF!</v>
      </c>
      <c r="C300" s="56" t="str">
        <f>VLOOKUP(E300,$F$12:$G$336,2,0)</f>
        <v xml:space="preserve">АНО "НИИ микрохирургии" </v>
      </c>
      <c r="D300" s="58"/>
      <c r="E300" s="170">
        <v>204</v>
      </c>
      <c r="F300" s="137"/>
      <c r="G300" s="258"/>
      <c r="H300" s="122" t="s">
        <v>5</v>
      </c>
      <c r="I300" s="142">
        <f t="shared" si="109"/>
        <v>62</v>
      </c>
      <c r="J300" s="142">
        <v>0</v>
      </c>
      <c r="K300" s="145">
        <v>62</v>
      </c>
      <c r="L300" s="149">
        <f t="shared" si="110"/>
        <v>13240.2</v>
      </c>
      <c r="M300" s="149">
        <v>0</v>
      </c>
      <c r="N300" s="149">
        <v>13240.2</v>
      </c>
    </row>
    <row r="301" spans="1:14" s="54" customFormat="1" ht="15.75" x14ac:dyDescent="0.25">
      <c r="A301" s="124" t="e">
        <f t="shared" si="93"/>
        <v>#REF!</v>
      </c>
      <c r="B301" s="247"/>
      <c r="C301" s="56" t="str">
        <f>VLOOKUP(E301,$F$12:$G$336,2,0)</f>
        <v xml:space="preserve">АНО "НИИ микрохирургии" </v>
      </c>
      <c r="D301" s="58"/>
      <c r="E301" s="170">
        <v>204</v>
      </c>
      <c r="F301" s="137"/>
      <c r="G301" s="258"/>
      <c r="H301" s="122" t="s">
        <v>41</v>
      </c>
      <c r="I301" s="142">
        <f t="shared" si="109"/>
        <v>15</v>
      </c>
      <c r="J301" s="142">
        <v>0</v>
      </c>
      <c r="K301" s="145">
        <v>15</v>
      </c>
      <c r="L301" s="149">
        <f t="shared" si="110"/>
        <v>2712.5</v>
      </c>
      <c r="M301" s="149">
        <v>0</v>
      </c>
      <c r="N301" s="149">
        <v>2712.5</v>
      </c>
    </row>
    <row r="302" spans="1:14" s="54" customFormat="1" ht="19.5" customHeight="1" x14ac:dyDescent="0.25">
      <c r="A302" s="124" t="e">
        <f t="shared" si="93"/>
        <v>#REF!</v>
      </c>
      <c r="B302" s="62"/>
      <c r="C302" s="56" t="str">
        <f>VLOOKUP(E302,$F$12:$G$336,2,0)</f>
        <v xml:space="preserve">АНО "НИИ микрохирургии" </v>
      </c>
      <c r="D302" s="58">
        <v>204</v>
      </c>
      <c r="E302" s="170">
        <v>204</v>
      </c>
      <c r="F302" s="137"/>
      <c r="G302" s="259"/>
      <c r="H302" s="159" t="s">
        <v>188</v>
      </c>
      <c r="I302" s="155">
        <f>ROUND(I299+I300+I301,0)</f>
        <v>868</v>
      </c>
      <c r="J302" s="155">
        <f>ROUND(J299+J300+J301,0)</f>
        <v>791</v>
      </c>
      <c r="K302" s="155">
        <f>ROUND(K299+K300+K301,0)</f>
        <v>77</v>
      </c>
      <c r="L302" s="156">
        <f t="shared" ref="L302:N302" si="111">ROUND(L299+L300+L301,1)</f>
        <v>87108.6</v>
      </c>
      <c r="M302" s="156">
        <f t="shared" si="111"/>
        <v>71155.899999999994</v>
      </c>
      <c r="N302" s="156">
        <f t="shared" si="111"/>
        <v>15952.7</v>
      </c>
    </row>
    <row r="303" spans="1:14" s="54" customFormat="1" ht="19.5" customHeight="1" x14ac:dyDescent="0.25">
      <c r="A303" s="124"/>
      <c r="B303" s="62"/>
      <c r="C303" s="56"/>
      <c r="D303" s="58"/>
      <c r="E303" s="170"/>
      <c r="F303" s="137">
        <v>298</v>
      </c>
      <c r="G303" s="433" t="s">
        <v>204</v>
      </c>
      <c r="H303" s="434"/>
      <c r="I303" s="155"/>
      <c r="J303" s="155"/>
      <c r="K303" s="155"/>
      <c r="L303" s="156"/>
      <c r="M303" s="156"/>
      <c r="N303" s="156"/>
    </row>
    <row r="304" spans="1:14" s="54" customFormat="1" ht="15.75" x14ac:dyDescent="0.25">
      <c r="A304" s="124" t="e">
        <f>A302</f>
        <v>#REF!</v>
      </c>
      <c r="C304" s="56" t="str">
        <f>VLOOKUP(E304,$F$12:$G$336,2,0)</f>
        <v xml:space="preserve">ООО "Санаторий "Космонавт" </v>
      </c>
      <c r="D304" s="58"/>
      <c r="E304" s="170">
        <v>298</v>
      </c>
      <c r="F304" s="137"/>
      <c r="G304" s="134"/>
      <c r="H304" s="133" t="s">
        <v>201</v>
      </c>
      <c r="I304" s="142">
        <f>J304+K304</f>
        <v>188</v>
      </c>
      <c r="J304" s="142">
        <f>50+138</f>
        <v>188</v>
      </c>
      <c r="K304" s="144"/>
      <c r="L304" s="149">
        <f>M304+N304</f>
        <v>4089.6000000000004</v>
      </c>
      <c r="M304" s="149">
        <f>1087.3+3002.3</f>
        <v>4089.6000000000004</v>
      </c>
      <c r="N304" s="149"/>
    </row>
    <row r="305" spans="1:14" s="54" customFormat="1" ht="27" customHeight="1" x14ac:dyDescent="0.25">
      <c r="A305" s="124"/>
      <c r="C305" s="56"/>
      <c r="D305" s="58"/>
      <c r="E305" s="170"/>
      <c r="F305" s="137"/>
      <c r="G305" s="134"/>
      <c r="H305" s="133" t="s">
        <v>488</v>
      </c>
      <c r="I305" s="142">
        <f>J305+K305</f>
        <v>28</v>
      </c>
      <c r="J305" s="142">
        <v>28</v>
      </c>
      <c r="K305" s="144"/>
      <c r="L305" s="149">
        <f>M305+N305</f>
        <v>607.6</v>
      </c>
      <c r="M305" s="149">
        <v>607.6</v>
      </c>
      <c r="N305" s="149"/>
    </row>
    <row r="306" spans="1:14" s="54" customFormat="1" ht="15.75" x14ac:dyDescent="0.25">
      <c r="A306" s="124" t="e">
        <f>A304</f>
        <v>#REF!</v>
      </c>
      <c r="C306" s="56" t="str">
        <f t="shared" ref="C306:C321" si="112">VLOOKUP(E306,$F$12:$G$336,2,0)</f>
        <v xml:space="preserve">ООО "Санаторий "Космонавт" </v>
      </c>
      <c r="D306" s="58">
        <v>298</v>
      </c>
      <c r="E306" s="170">
        <v>298</v>
      </c>
      <c r="F306" s="137"/>
      <c r="G306" s="182"/>
      <c r="H306" s="154" t="s">
        <v>188</v>
      </c>
      <c r="I306" s="155">
        <f>I304+I305</f>
        <v>216</v>
      </c>
      <c r="J306" s="155">
        <f t="shared" ref="J306:L306" si="113">J304+J305</f>
        <v>216</v>
      </c>
      <c r="K306" s="155">
        <f t="shared" si="113"/>
        <v>0</v>
      </c>
      <c r="L306" s="156">
        <f t="shared" si="113"/>
        <v>4697.2000000000007</v>
      </c>
      <c r="M306" s="156">
        <f t="shared" ref="M306" si="114">M304+M305</f>
        <v>4697.2000000000007</v>
      </c>
      <c r="N306" s="156">
        <f t="shared" ref="N306" si="115">N304+N305</f>
        <v>0</v>
      </c>
    </row>
    <row r="307" spans="1:14" s="54" customFormat="1" ht="15.75" x14ac:dyDescent="0.25">
      <c r="A307" s="124" t="e">
        <f>#REF!</f>
        <v>#REF!</v>
      </c>
      <c r="B307" s="248"/>
      <c r="C307" s="56" t="str">
        <f t="shared" si="112"/>
        <v>ООО "ЦКБ"</v>
      </c>
      <c r="D307" s="58"/>
      <c r="E307" s="170">
        <v>355</v>
      </c>
      <c r="F307" s="131">
        <v>355</v>
      </c>
      <c r="G307" s="433" t="s">
        <v>222</v>
      </c>
      <c r="H307" s="434"/>
      <c r="I307" s="142"/>
      <c r="J307" s="142"/>
      <c r="K307" s="142"/>
      <c r="L307" s="149"/>
      <c r="M307" s="149"/>
      <c r="N307" s="149"/>
    </row>
    <row r="308" spans="1:14" s="54" customFormat="1" ht="15.75" x14ac:dyDescent="0.25">
      <c r="A308" s="124" t="e">
        <f>#REF!</f>
        <v>#REF!</v>
      </c>
      <c r="B308" s="62"/>
      <c r="C308" s="56" t="str">
        <f t="shared" si="112"/>
        <v>ООО "ЦКБ"</v>
      </c>
      <c r="D308" s="58"/>
      <c r="E308" s="170">
        <v>355</v>
      </c>
      <c r="F308" s="131"/>
      <c r="G308" s="132"/>
      <c r="H308" s="133" t="s">
        <v>25</v>
      </c>
      <c r="I308" s="142">
        <f t="shared" ref="I308:I310" si="116">J308+K308</f>
        <v>805</v>
      </c>
      <c r="J308" s="142">
        <v>700</v>
      </c>
      <c r="K308" s="142">
        <f>80+25</f>
        <v>105</v>
      </c>
      <c r="L308" s="149">
        <f t="shared" ref="L308:L310" si="117">M308+N308</f>
        <v>43244.7</v>
      </c>
      <c r="M308" s="149">
        <v>33051.699999999997</v>
      </c>
      <c r="N308" s="149">
        <f>7936.9+2256.1</f>
        <v>10193</v>
      </c>
    </row>
    <row r="309" spans="1:14" s="54" customFormat="1" ht="15.75" x14ac:dyDescent="0.25">
      <c r="A309" s="124" t="e">
        <f t="shared" si="93"/>
        <v>#REF!</v>
      </c>
      <c r="C309" s="56" t="str">
        <f t="shared" si="112"/>
        <v>ООО "ЦКБ"</v>
      </c>
      <c r="D309" s="58"/>
      <c r="E309" s="170">
        <v>355</v>
      </c>
      <c r="F309" s="131"/>
      <c r="G309" s="132"/>
      <c r="H309" s="133" t="s">
        <v>5</v>
      </c>
      <c r="I309" s="142">
        <f t="shared" si="116"/>
        <v>270</v>
      </c>
      <c r="J309" s="142">
        <v>270</v>
      </c>
      <c r="K309" s="142"/>
      <c r="L309" s="149">
        <f t="shared" si="117"/>
        <v>15467.099999999999</v>
      </c>
      <c r="M309" s="149">
        <f>22014.3-6547.2</f>
        <v>15467.099999999999</v>
      </c>
      <c r="N309" s="149"/>
    </row>
    <row r="310" spans="1:14" s="54" customFormat="1" ht="18" customHeight="1" x14ac:dyDescent="0.25">
      <c r="A310" s="124" t="e">
        <f>#REF!</f>
        <v>#REF!</v>
      </c>
      <c r="B310" s="62"/>
      <c r="C310" s="56" t="str">
        <f t="shared" si="112"/>
        <v>ООО "ЦКБ"</v>
      </c>
      <c r="D310" s="58"/>
      <c r="E310" s="170">
        <v>355</v>
      </c>
      <c r="F310" s="131"/>
      <c r="G310" s="134"/>
      <c r="H310" s="133" t="s">
        <v>201</v>
      </c>
      <c r="I310" s="142">
        <f t="shared" si="116"/>
        <v>213</v>
      </c>
      <c r="J310" s="142">
        <v>213</v>
      </c>
      <c r="K310" s="142"/>
      <c r="L310" s="149">
        <f t="shared" si="117"/>
        <v>19863.8</v>
      </c>
      <c r="M310" s="149">
        <f>13316.6+6547.2</f>
        <v>19863.8</v>
      </c>
      <c r="N310" s="149"/>
    </row>
    <row r="311" spans="1:14" s="54" customFormat="1" ht="15.75" customHeight="1" x14ac:dyDescent="0.25">
      <c r="A311" s="124" t="e">
        <f t="shared" si="93"/>
        <v>#REF!</v>
      </c>
      <c r="C311" s="56" t="str">
        <f t="shared" si="112"/>
        <v>ООО "ЦКБ"</v>
      </c>
      <c r="D311" s="58">
        <v>355</v>
      </c>
      <c r="E311" s="170">
        <v>355</v>
      </c>
      <c r="F311" s="136"/>
      <c r="G311" s="157"/>
      <c r="H311" s="154" t="s">
        <v>188</v>
      </c>
      <c r="I311" s="155">
        <f t="shared" ref="I311:N311" si="118">ROUND(I307+I308+I309+I310,1)</f>
        <v>1288</v>
      </c>
      <c r="J311" s="155">
        <f t="shared" si="118"/>
        <v>1183</v>
      </c>
      <c r="K311" s="155">
        <f t="shared" si="118"/>
        <v>105</v>
      </c>
      <c r="L311" s="156">
        <f t="shared" si="118"/>
        <v>78575.600000000006</v>
      </c>
      <c r="M311" s="156">
        <f t="shared" si="118"/>
        <v>68382.600000000006</v>
      </c>
      <c r="N311" s="156">
        <f t="shared" si="118"/>
        <v>10193</v>
      </c>
    </row>
    <row r="312" spans="1:14" s="54" customFormat="1" ht="28.5" customHeight="1" x14ac:dyDescent="0.25">
      <c r="A312" s="124" t="e">
        <f>#REF!</f>
        <v>#REF!</v>
      </c>
      <c r="B312" s="62"/>
      <c r="C312" s="56" t="str">
        <f t="shared" si="112"/>
        <v xml:space="preserve">ФГБОУ ВО СибГМУ Минздрава России </v>
      </c>
      <c r="D312" s="58"/>
      <c r="E312" s="170">
        <v>173</v>
      </c>
      <c r="F312" s="131">
        <v>173</v>
      </c>
      <c r="G312" s="433" t="s">
        <v>106</v>
      </c>
      <c r="H312" s="434"/>
      <c r="I312" s="142"/>
      <c r="J312" s="142"/>
      <c r="K312" s="144"/>
      <c r="L312" s="149"/>
      <c r="M312" s="149"/>
      <c r="N312" s="149"/>
    </row>
    <row r="313" spans="1:14" s="54" customFormat="1" ht="15.75" customHeight="1" x14ac:dyDescent="0.25">
      <c r="A313" s="124" t="e">
        <f>#REF!</f>
        <v>#REF!</v>
      </c>
      <c r="C313" s="56" t="str">
        <f t="shared" si="112"/>
        <v xml:space="preserve">ФГБОУ ВО СибГМУ Минздрава России </v>
      </c>
      <c r="D313" s="58"/>
      <c r="E313" s="170">
        <v>173</v>
      </c>
      <c r="F313" s="131"/>
      <c r="G313" s="134"/>
      <c r="H313" s="133" t="s">
        <v>9</v>
      </c>
      <c r="I313" s="142">
        <f t="shared" ref="I313:I320" si="119">J313+K313</f>
        <v>300</v>
      </c>
      <c r="J313" s="142">
        <v>300</v>
      </c>
      <c r="K313" s="142"/>
      <c r="L313" s="149">
        <f t="shared" ref="L313:L320" si="120">M313+N313</f>
        <v>12390</v>
      </c>
      <c r="M313" s="149">
        <v>12390</v>
      </c>
      <c r="N313" s="149"/>
    </row>
    <row r="314" spans="1:14" s="54" customFormat="1" ht="15.75" customHeight="1" x14ac:dyDescent="0.25">
      <c r="A314" s="124"/>
      <c r="C314" s="56" t="str">
        <f t="shared" si="112"/>
        <v xml:space="preserve">ФГБОУ ВО СибГМУ Минздрава России </v>
      </c>
      <c r="D314" s="58"/>
      <c r="E314" s="170">
        <v>173</v>
      </c>
      <c r="F314" s="131"/>
      <c r="G314" s="134"/>
      <c r="H314" s="133" t="s">
        <v>478</v>
      </c>
      <c r="I314" s="142">
        <f t="shared" si="119"/>
        <v>1</v>
      </c>
      <c r="J314" s="142">
        <v>1</v>
      </c>
      <c r="K314" s="142"/>
      <c r="L314" s="149">
        <f t="shared" si="120"/>
        <v>46.4</v>
      </c>
      <c r="M314" s="149">
        <v>46.4</v>
      </c>
      <c r="N314" s="149"/>
    </row>
    <row r="315" spans="1:14" s="54" customFormat="1" ht="15.75" x14ac:dyDescent="0.25">
      <c r="A315" s="124" t="e">
        <f>#REF!</f>
        <v>#REF!</v>
      </c>
      <c r="C315" s="56" t="str">
        <f t="shared" si="112"/>
        <v xml:space="preserve">ФГБОУ ВО СибГМУ Минздрава России </v>
      </c>
      <c r="D315" s="58"/>
      <c r="E315" s="170">
        <v>173</v>
      </c>
      <c r="F315" s="136"/>
      <c r="G315" s="132"/>
      <c r="H315" s="133" t="s">
        <v>25</v>
      </c>
      <c r="I315" s="142">
        <f t="shared" si="119"/>
        <v>360</v>
      </c>
      <c r="J315" s="142">
        <v>360</v>
      </c>
      <c r="K315" s="146"/>
      <c r="L315" s="149">
        <f t="shared" si="120"/>
        <v>13706.3</v>
      </c>
      <c r="M315" s="149">
        <v>13706.3</v>
      </c>
      <c r="N315" s="149"/>
    </row>
    <row r="316" spans="1:14" s="54" customFormat="1" ht="15.75" x14ac:dyDescent="0.25">
      <c r="A316" s="124" t="e">
        <f t="shared" ref="A316:A383" si="121">A315</f>
        <v>#REF!</v>
      </c>
      <c r="C316" s="56" t="str">
        <f t="shared" si="112"/>
        <v xml:space="preserve">ФГБОУ ВО СибГМУ Минздрава России </v>
      </c>
      <c r="D316" s="58"/>
      <c r="E316" s="170">
        <v>173</v>
      </c>
      <c r="F316" s="136"/>
      <c r="G316" s="132"/>
      <c r="H316" s="133" t="s">
        <v>209</v>
      </c>
      <c r="I316" s="142">
        <f t="shared" si="119"/>
        <v>5</v>
      </c>
      <c r="J316" s="142">
        <v>5</v>
      </c>
      <c r="K316" s="146"/>
      <c r="L316" s="149">
        <f t="shared" si="120"/>
        <v>410.7</v>
      </c>
      <c r="M316" s="149">
        <v>410.7</v>
      </c>
      <c r="N316" s="149"/>
    </row>
    <row r="317" spans="1:14" s="54" customFormat="1" ht="15.75" x14ac:dyDescent="0.25">
      <c r="A317" s="124" t="e">
        <f t="shared" si="121"/>
        <v>#REF!</v>
      </c>
      <c r="C317" s="56" t="str">
        <f t="shared" si="112"/>
        <v xml:space="preserve">ФГБОУ ВО СибГМУ Минздрава России </v>
      </c>
      <c r="D317" s="58"/>
      <c r="E317" s="170">
        <v>173</v>
      </c>
      <c r="F317" s="136"/>
      <c r="G317" s="132"/>
      <c r="H317" s="133" t="s">
        <v>8</v>
      </c>
      <c r="I317" s="142">
        <f t="shared" si="119"/>
        <v>2210</v>
      </c>
      <c r="J317" s="142">
        <v>2210</v>
      </c>
      <c r="K317" s="146"/>
      <c r="L317" s="149">
        <f t="shared" si="120"/>
        <v>102812</v>
      </c>
      <c r="M317" s="149">
        <v>102812</v>
      </c>
      <c r="N317" s="149"/>
    </row>
    <row r="318" spans="1:14" s="54" customFormat="1" ht="15.75" x14ac:dyDescent="0.25">
      <c r="A318" s="124" t="e">
        <f t="shared" si="121"/>
        <v>#REF!</v>
      </c>
      <c r="B318" s="247"/>
      <c r="C318" s="56" t="str">
        <f t="shared" si="112"/>
        <v xml:space="preserve">ФГБОУ ВО СибГМУ Минздрава России </v>
      </c>
      <c r="D318" s="58"/>
      <c r="E318" s="170">
        <v>173</v>
      </c>
      <c r="F318" s="136"/>
      <c r="G318" s="132"/>
      <c r="H318" s="133" t="s">
        <v>13</v>
      </c>
      <c r="I318" s="142">
        <f t="shared" si="119"/>
        <v>420</v>
      </c>
      <c r="J318" s="142">
        <v>420</v>
      </c>
      <c r="K318" s="146"/>
      <c r="L318" s="149">
        <f t="shared" si="120"/>
        <v>18778.3</v>
      </c>
      <c r="M318" s="149">
        <v>18778.3</v>
      </c>
      <c r="N318" s="149"/>
    </row>
    <row r="319" spans="1:14" s="54" customFormat="1" ht="15.75" customHeight="1" x14ac:dyDescent="0.25">
      <c r="A319" s="124" t="e">
        <f t="shared" si="121"/>
        <v>#REF!</v>
      </c>
      <c r="B319" s="62"/>
      <c r="C319" s="56" t="str">
        <f t="shared" si="112"/>
        <v xml:space="preserve">ФГБОУ ВО СибГМУ Минздрава России </v>
      </c>
      <c r="D319" s="58"/>
      <c r="E319" s="170">
        <v>173</v>
      </c>
      <c r="F319" s="136"/>
      <c r="G319" s="132"/>
      <c r="H319" s="133" t="s">
        <v>4</v>
      </c>
      <c r="I319" s="142">
        <f t="shared" si="119"/>
        <v>1270</v>
      </c>
      <c r="J319" s="142">
        <v>1270</v>
      </c>
      <c r="K319" s="146"/>
      <c r="L319" s="149">
        <f t="shared" si="120"/>
        <v>63454.8</v>
      </c>
      <c r="M319" s="149">
        <v>63454.8</v>
      </c>
      <c r="N319" s="149"/>
    </row>
    <row r="320" spans="1:14" s="54" customFormat="1" ht="15.75" x14ac:dyDescent="0.25">
      <c r="A320" s="124" t="e">
        <f t="shared" si="121"/>
        <v>#REF!</v>
      </c>
      <c r="C320" s="56" t="str">
        <f t="shared" si="112"/>
        <v xml:space="preserve">ФГБОУ ВО СибГМУ Минздрава России </v>
      </c>
      <c r="D320" s="58"/>
      <c r="E320" s="170">
        <v>173</v>
      </c>
      <c r="F320" s="131"/>
      <c r="G320" s="134"/>
      <c r="H320" s="133" t="s">
        <v>210</v>
      </c>
      <c r="I320" s="142">
        <f t="shared" si="119"/>
        <v>25</v>
      </c>
      <c r="J320" s="142">
        <v>25</v>
      </c>
      <c r="K320" s="144"/>
      <c r="L320" s="149">
        <f t="shared" si="120"/>
        <v>1478.4</v>
      </c>
      <c r="M320" s="149">
        <v>1478.4</v>
      </c>
      <c r="N320" s="149"/>
    </row>
    <row r="321" spans="1:14" s="54" customFormat="1" ht="15.75" customHeight="1" x14ac:dyDescent="0.25">
      <c r="A321" s="124" t="e">
        <f t="shared" si="121"/>
        <v>#REF!</v>
      </c>
      <c r="C321" s="56" t="str">
        <f t="shared" si="112"/>
        <v xml:space="preserve">ФГБОУ ВО СибГМУ Минздрава России </v>
      </c>
      <c r="D321" s="58">
        <v>173</v>
      </c>
      <c r="E321" s="170">
        <v>173</v>
      </c>
      <c r="F321" s="136"/>
      <c r="G321" s="157"/>
      <c r="H321" s="179" t="s">
        <v>188</v>
      </c>
      <c r="I321" s="155">
        <f>ROUND(I312+I313+I315+I316+I317+I318+I319+I320+I314,1)</f>
        <v>4591</v>
      </c>
      <c r="J321" s="155">
        <f>ROUND(J312+J313+J315+J316+J317+J318+J319+J320+J314,1)</f>
        <v>4591</v>
      </c>
      <c r="K321" s="155">
        <f t="shared" ref="K321" si="122">ROUND(K312+K313+K315+K316+K317+K318+K319+K320,1)</f>
        <v>0</v>
      </c>
      <c r="L321" s="156">
        <f>ROUND(L312+L313+L315+L316+L317+L318+L319+L320+L314,1)</f>
        <v>213076.9</v>
      </c>
      <c r="M321" s="156">
        <f t="shared" ref="M321:N321" si="123">ROUND(M312+M313+M315+M316+M317+M318+M319+M320+M314,1)</f>
        <v>213076.9</v>
      </c>
      <c r="N321" s="156">
        <f t="shared" si="123"/>
        <v>0</v>
      </c>
    </row>
    <row r="322" spans="1:14" s="54" customFormat="1" ht="21" customHeight="1" x14ac:dyDescent="0.25">
      <c r="A322" s="124"/>
      <c r="C322" s="56"/>
      <c r="D322" s="58"/>
      <c r="E322" s="170"/>
      <c r="F322" s="137">
        <v>466</v>
      </c>
      <c r="G322" s="433" t="s">
        <v>219</v>
      </c>
      <c r="H322" s="434"/>
      <c r="I322" s="143"/>
      <c r="J322" s="143"/>
      <c r="K322" s="143"/>
      <c r="L322" s="148"/>
      <c r="M322" s="148"/>
      <c r="N322" s="148"/>
    </row>
    <row r="323" spans="1:14" s="54" customFormat="1" ht="15.75" customHeight="1" x14ac:dyDescent="0.25">
      <c r="A323" s="124" t="e">
        <f>A321</f>
        <v>#REF!</v>
      </c>
      <c r="C323" s="56" t="str">
        <f>VLOOKUP(E323,$F$12:$G$336,2,0)</f>
        <v>НИИ Кардиологии  Томского НИМЦ</v>
      </c>
      <c r="D323" s="58"/>
      <c r="E323" s="170">
        <v>466</v>
      </c>
      <c r="F323" s="137"/>
      <c r="G323" s="134"/>
      <c r="H323" s="122" t="s">
        <v>199</v>
      </c>
      <c r="I323" s="142">
        <f t="shared" ref="I323:I326" si="124">J323+K323</f>
        <v>2</v>
      </c>
      <c r="J323" s="142">
        <v>2</v>
      </c>
      <c r="K323" s="144"/>
      <c r="L323" s="149">
        <f t="shared" ref="L323:L326" si="125">M323+N323</f>
        <v>113.9</v>
      </c>
      <c r="M323" s="149">
        <v>113.9</v>
      </c>
      <c r="N323" s="149"/>
    </row>
    <row r="324" spans="1:14" s="54" customFormat="1" ht="15.75" x14ac:dyDescent="0.25">
      <c r="A324" s="124" t="e">
        <f t="shared" si="121"/>
        <v>#REF!</v>
      </c>
      <c r="C324" s="56" t="str">
        <f>VLOOKUP(E324,$F$12:$G$336,2,0)</f>
        <v>НИИ Кардиологии  Томского НИМЦ</v>
      </c>
      <c r="D324" s="58"/>
      <c r="E324" s="170">
        <v>466</v>
      </c>
      <c r="F324" s="236"/>
      <c r="G324" s="132"/>
      <c r="H324" s="133" t="s">
        <v>16</v>
      </c>
      <c r="I324" s="142">
        <f t="shared" si="124"/>
        <v>400</v>
      </c>
      <c r="J324" s="142">
        <v>400</v>
      </c>
      <c r="K324" s="146"/>
      <c r="L324" s="149">
        <f t="shared" si="125"/>
        <v>29727.7</v>
      </c>
      <c r="M324" s="149">
        <v>29727.7</v>
      </c>
      <c r="N324" s="149"/>
    </row>
    <row r="325" spans="1:14" s="54" customFormat="1" ht="15.75" x14ac:dyDescent="0.25">
      <c r="A325" s="124" t="e">
        <f t="shared" si="121"/>
        <v>#REF!</v>
      </c>
      <c r="B325" s="247"/>
      <c r="C325" s="56" t="str">
        <f>VLOOKUP(E325,$F$12:$G$336,2,0)</f>
        <v>НИИ Кардиологии  Томского НИМЦ</v>
      </c>
      <c r="D325" s="58"/>
      <c r="E325" s="170">
        <v>466</v>
      </c>
      <c r="F325" s="236"/>
      <c r="G325" s="132"/>
      <c r="H325" s="133" t="s">
        <v>40</v>
      </c>
      <c r="I325" s="142">
        <f t="shared" si="124"/>
        <v>300</v>
      </c>
      <c r="J325" s="142">
        <v>300</v>
      </c>
      <c r="K325" s="146"/>
      <c r="L325" s="149">
        <f t="shared" si="125"/>
        <v>51590.1</v>
      </c>
      <c r="M325" s="149">
        <v>51590.1</v>
      </c>
      <c r="N325" s="149"/>
    </row>
    <row r="326" spans="1:14" s="54" customFormat="1" ht="15.75" x14ac:dyDescent="0.25">
      <c r="A326" s="124"/>
      <c r="B326" s="62"/>
      <c r="C326" s="56"/>
      <c r="D326" s="58"/>
      <c r="E326" s="170"/>
      <c r="F326" s="236"/>
      <c r="G326" s="132"/>
      <c r="H326" s="402" t="s">
        <v>8</v>
      </c>
      <c r="I326" s="142">
        <f t="shared" si="124"/>
        <v>300</v>
      </c>
      <c r="J326" s="142">
        <v>300</v>
      </c>
      <c r="K326" s="146"/>
      <c r="L326" s="149">
        <f t="shared" si="125"/>
        <v>16352.2</v>
      </c>
      <c r="M326" s="149">
        <v>16352.2</v>
      </c>
      <c r="N326" s="149"/>
    </row>
    <row r="327" spans="1:14" s="54" customFormat="1" ht="15.75" customHeight="1" x14ac:dyDescent="0.25">
      <c r="A327" s="124" t="e">
        <f>A325</f>
        <v>#REF!</v>
      </c>
      <c r="B327" s="62"/>
      <c r="C327" s="56" t="str">
        <f>VLOOKUP(E327,$F$12:$G$336,2,0)</f>
        <v>НИИ Кардиологии  Томского НИМЦ</v>
      </c>
      <c r="D327" s="58">
        <v>466</v>
      </c>
      <c r="E327" s="170">
        <v>466</v>
      </c>
      <c r="F327" s="236"/>
      <c r="G327" s="157"/>
      <c r="H327" s="179" t="s">
        <v>188</v>
      </c>
      <c r="I327" s="155">
        <f>ROUND(I323+I324+I325+I326,0)</f>
        <v>1002</v>
      </c>
      <c r="J327" s="155">
        <f t="shared" ref="J327:N327" si="126">ROUND(J323+J324+J325+J326,0)</f>
        <v>1002</v>
      </c>
      <c r="K327" s="155">
        <f t="shared" si="126"/>
        <v>0</v>
      </c>
      <c r="L327" s="156">
        <f>ROUND(L323+L324+L325+L326,1)</f>
        <v>97783.9</v>
      </c>
      <c r="M327" s="156">
        <f>ROUND(M323+M324+M325+M326,1)</f>
        <v>97783.9</v>
      </c>
      <c r="N327" s="156">
        <f t="shared" si="126"/>
        <v>0</v>
      </c>
    </row>
    <row r="328" spans="1:14" s="54" customFormat="1" ht="28.5" customHeight="1" x14ac:dyDescent="0.25">
      <c r="A328" s="124"/>
      <c r="B328" s="62"/>
      <c r="C328" s="56"/>
      <c r="D328" s="58"/>
      <c r="E328" s="170"/>
      <c r="F328" s="137">
        <v>465</v>
      </c>
      <c r="G328" s="433" t="s">
        <v>134</v>
      </c>
      <c r="H328" s="434"/>
      <c r="I328" s="143"/>
      <c r="J328" s="143"/>
      <c r="K328" s="143"/>
      <c r="L328" s="148"/>
      <c r="M328" s="148"/>
      <c r="N328" s="148"/>
    </row>
    <row r="329" spans="1:14" s="54" customFormat="1" ht="15.75" customHeight="1" x14ac:dyDescent="0.25">
      <c r="A329" s="124" t="e">
        <f>A327</f>
        <v>#REF!</v>
      </c>
      <c r="C329" s="56" t="str">
        <f>VLOOKUP(E329,$F$12:$G$336,2,0)</f>
        <v>НИИ Онкологии  Томского НИМЦ</v>
      </c>
      <c r="D329" s="58"/>
      <c r="E329" s="170">
        <v>465</v>
      </c>
      <c r="F329" s="137"/>
      <c r="G329" s="134"/>
      <c r="H329" s="122" t="s">
        <v>19</v>
      </c>
      <c r="I329" s="142">
        <f>J329+K329</f>
        <v>760</v>
      </c>
      <c r="J329" s="142">
        <v>760</v>
      </c>
      <c r="K329" s="144"/>
      <c r="L329" s="149">
        <f>M329+N329</f>
        <v>80214.5</v>
      </c>
      <c r="M329" s="149">
        <v>80214.5</v>
      </c>
      <c r="N329" s="149"/>
    </row>
    <row r="330" spans="1:14" s="54" customFormat="1" ht="15.75" customHeight="1" x14ac:dyDescent="0.25">
      <c r="A330" s="124" t="e">
        <f t="shared" si="121"/>
        <v>#REF!</v>
      </c>
      <c r="C330" s="56" t="str">
        <f>VLOOKUP(E330,$F$12:$G$336,2,0)</f>
        <v>НИИ Онкологии  Томского НИМЦ</v>
      </c>
      <c r="D330" s="58">
        <v>465</v>
      </c>
      <c r="E330" s="170">
        <v>465</v>
      </c>
      <c r="F330" s="137"/>
      <c r="G330" s="153"/>
      <c r="H330" s="179" t="s">
        <v>188</v>
      </c>
      <c r="I330" s="155">
        <f>ROUND(I329,0)</f>
        <v>760</v>
      </c>
      <c r="J330" s="155">
        <f>ROUND(J329,0)</f>
        <v>760</v>
      </c>
      <c r="K330" s="160">
        <v>0</v>
      </c>
      <c r="L330" s="161">
        <f t="shared" ref="L330:N330" si="127">L329</f>
        <v>80214.5</v>
      </c>
      <c r="M330" s="161">
        <f t="shared" si="127"/>
        <v>80214.5</v>
      </c>
      <c r="N330" s="161">
        <f t="shared" si="127"/>
        <v>0</v>
      </c>
    </row>
    <row r="331" spans="1:14" s="54" customFormat="1" ht="15.75" customHeight="1" x14ac:dyDescent="0.25">
      <c r="A331" s="124"/>
      <c r="C331" s="56"/>
      <c r="D331" s="58"/>
      <c r="E331" s="170"/>
      <c r="F331" s="137">
        <v>296</v>
      </c>
      <c r="G331" s="433" t="s">
        <v>221</v>
      </c>
      <c r="H331" s="434"/>
      <c r="I331" s="143"/>
      <c r="J331" s="143"/>
      <c r="K331" s="147"/>
      <c r="L331" s="150"/>
      <c r="M331" s="150"/>
      <c r="N331" s="150"/>
    </row>
    <row r="332" spans="1:14" s="54" customFormat="1" ht="15.75" customHeight="1" x14ac:dyDescent="0.25">
      <c r="A332" s="124" t="e">
        <f>A330</f>
        <v>#REF!</v>
      </c>
      <c r="C332" s="56" t="str">
        <f>VLOOKUP(E332,$F$12:$G$336,2,0)</f>
        <v xml:space="preserve">ФБУ Центр реабилитации ФСС РФ "Ключи" </v>
      </c>
      <c r="D332" s="58"/>
      <c r="E332" s="170">
        <v>296</v>
      </c>
      <c r="F332" s="137"/>
      <c r="G332" s="134"/>
      <c r="H332" s="122" t="s">
        <v>201</v>
      </c>
      <c r="I332" s="142">
        <f>J332+K332</f>
        <v>500</v>
      </c>
      <c r="J332" s="142">
        <v>500</v>
      </c>
      <c r="K332" s="144"/>
      <c r="L332" s="149">
        <f>M332+N332</f>
        <v>36410</v>
      </c>
      <c r="M332" s="149">
        <v>36410</v>
      </c>
      <c r="N332" s="149"/>
    </row>
    <row r="333" spans="1:14" s="54" customFormat="1" ht="15.75" customHeight="1" x14ac:dyDescent="0.25">
      <c r="A333" s="124" t="e">
        <f t="shared" si="121"/>
        <v>#REF!</v>
      </c>
      <c r="B333" s="247"/>
      <c r="C333" s="56" t="str">
        <f>VLOOKUP(E333,$F$12:$G$336,2,0)</f>
        <v xml:space="preserve">ФБУ Центр реабилитации ФСС РФ "Ключи" </v>
      </c>
      <c r="D333" s="58">
        <v>296</v>
      </c>
      <c r="E333" s="170">
        <v>296</v>
      </c>
      <c r="F333" s="236"/>
      <c r="G333" s="183"/>
      <c r="H333" s="154" t="s">
        <v>188</v>
      </c>
      <c r="I333" s="155">
        <f>ROUND(I332,0)</f>
        <v>500</v>
      </c>
      <c r="J333" s="155">
        <f>ROUND(J332,0)</f>
        <v>500</v>
      </c>
      <c r="K333" s="155">
        <f>ROUND(K332,0)</f>
        <v>0</v>
      </c>
      <c r="L333" s="156">
        <f t="shared" ref="L333:N333" si="128">ROUND(L332,1)</f>
        <v>36410</v>
      </c>
      <c r="M333" s="156">
        <f t="shared" si="128"/>
        <v>36410</v>
      </c>
      <c r="N333" s="156">
        <f t="shared" si="128"/>
        <v>0</v>
      </c>
    </row>
    <row r="334" spans="1:14" s="54" customFormat="1" ht="16.5" customHeight="1" x14ac:dyDescent="0.25">
      <c r="A334" s="124" t="e">
        <f t="shared" si="121"/>
        <v>#REF!</v>
      </c>
      <c r="B334" s="62"/>
      <c r="C334" s="56" t="str">
        <f>VLOOKUP(E334,$F$12:$G$336,2,0)</f>
        <v xml:space="preserve">ФГБУ ФНКЦ МРИК ФМБА РОССИИ </v>
      </c>
      <c r="D334" s="58"/>
      <c r="E334" s="170">
        <v>463</v>
      </c>
      <c r="F334" s="131">
        <v>463</v>
      </c>
      <c r="G334" s="433" t="s">
        <v>223</v>
      </c>
      <c r="H334" s="434"/>
      <c r="I334" s="142"/>
      <c r="J334" s="142"/>
      <c r="K334" s="144"/>
      <c r="L334" s="149"/>
      <c r="M334" s="149"/>
      <c r="N334" s="149"/>
    </row>
    <row r="335" spans="1:14" s="54" customFormat="1" ht="15.75" customHeight="1" x14ac:dyDescent="0.25">
      <c r="A335" s="124" t="e">
        <f t="shared" si="121"/>
        <v>#REF!</v>
      </c>
      <c r="C335" s="56" t="str">
        <f>VLOOKUP(E335,$F$12:$G$336,2,0)</f>
        <v xml:space="preserve">ФГБУ ФНКЦ МРИК ФМБА РОССИИ </v>
      </c>
      <c r="D335" s="58"/>
      <c r="E335" s="170">
        <v>463</v>
      </c>
      <c r="F335" s="136"/>
      <c r="G335" s="132"/>
      <c r="H335" s="133" t="s">
        <v>201</v>
      </c>
      <c r="I335" s="142">
        <f t="shared" ref="I335" si="129">J335+K335</f>
        <v>1000</v>
      </c>
      <c r="J335" s="142">
        <f>2366-166-1200</f>
        <v>1000</v>
      </c>
      <c r="K335" s="146"/>
      <c r="L335" s="149">
        <f>M335+N335</f>
        <v>76848.2</v>
      </c>
      <c r="M335" s="149">
        <f>181822.9-3609.9-101364.8</f>
        <v>76848.2</v>
      </c>
      <c r="N335" s="149"/>
    </row>
    <row r="336" spans="1:14" s="54" customFormat="1" ht="15.75" customHeight="1" x14ac:dyDescent="0.25">
      <c r="A336" s="124" t="e">
        <f t="shared" si="121"/>
        <v>#REF!</v>
      </c>
      <c r="C336" s="56" t="str">
        <f>VLOOKUP(E336,$F$12:$G$336,2,0)</f>
        <v xml:space="preserve">ФГБУ ФНКЦ МРИК ФМБА РОССИИ </v>
      </c>
      <c r="D336" s="58">
        <v>463</v>
      </c>
      <c r="E336" s="172">
        <v>463</v>
      </c>
      <c r="F336" s="136"/>
      <c r="G336" s="157"/>
      <c r="H336" s="154" t="s">
        <v>188</v>
      </c>
      <c r="I336" s="155">
        <f>ROUND(I334+I335,0)</f>
        <v>1000</v>
      </c>
      <c r="J336" s="155">
        <f>ROUND(J334+J335,0)</f>
        <v>1000</v>
      </c>
      <c r="K336" s="155">
        <f>ROUND(K334+K335,0)</f>
        <v>0</v>
      </c>
      <c r="L336" s="156">
        <f t="shared" ref="L336:N336" si="130">ROUND(L334+L335,1)</f>
        <v>76848.2</v>
      </c>
      <c r="M336" s="156">
        <f t="shared" si="130"/>
        <v>76848.2</v>
      </c>
      <c r="N336" s="156">
        <f t="shared" si="130"/>
        <v>0</v>
      </c>
    </row>
    <row r="337" spans="1:14" s="54" customFormat="1" ht="15.75" customHeight="1" x14ac:dyDescent="0.25">
      <c r="A337" s="124" t="e">
        <f>#REF!</f>
        <v>#REF!</v>
      </c>
      <c r="B337" s="247"/>
      <c r="C337" s="57"/>
      <c r="D337" s="58"/>
      <c r="E337" s="172"/>
      <c r="F337" s="138"/>
      <c r="G337" s="464" t="s">
        <v>43</v>
      </c>
      <c r="H337" s="465"/>
      <c r="I337" s="155">
        <f t="shared" ref="I337:N337" si="131">ROUND(I19+I34+I39+I43+I51+I55+I66+I76+I79+I89+I93+I101+I111+I120+I133+I143+I155+I158+I167+I171+I178+I187+I197+I206+I212+I218+I231+I238+I266+I269+I275+I280+I289+I297+I302+I306+I311+I321+I327+I330+I333+I336,1)</f>
        <v>164577</v>
      </c>
      <c r="J337" s="155">
        <f t="shared" si="131"/>
        <v>159375</v>
      </c>
      <c r="K337" s="155">
        <f t="shared" si="131"/>
        <v>5202</v>
      </c>
      <c r="L337" s="156">
        <f t="shared" si="131"/>
        <v>12730097.9</v>
      </c>
      <c r="M337" s="156">
        <f t="shared" si="131"/>
        <v>11332982.9</v>
      </c>
      <c r="N337" s="156">
        <f t="shared" si="131"/>
        <v>1397115</v>
      </c>
    </row>
    <row r="338" spans="1:14" s="54" customFormat="1" ht="35.25" customHeight="1" x14ac:dyDescent="0.25">
      <c r="A338" s="124" t="e">
        <f t="shared" si="121"/>
        <v>#REF!</v>
      </c>
      <c r="B338" s="247"/>
      <c r="C338" s="57"/>
      <c r="D338" s="58"/>
      <c r="E338" s="172"/>
      <c r="F338" s="139"/>
      <c r="G338" s="442" t="s">
        <v>44</v>
      </c>
      <c r="H338" s="443"/>
      <c r="I338" s="223">
        <f>I339-I337</f>
        <v>19207</v>
      </c>
      <c r="J338" s="60"/>
      <c r="K338" s="60"/>
      <c r="L338" s="61"/>
      <c r="M338" s="61"/>
      <c r="N338" s="61"/>
    </row>
    <row r="339" spans="1:14" s="54" customFormat="1" ht="27.75" customHeight="1" x14ac:dyDescent="0.25">
      <c r="A339" s="124" t="e">
        <f t="shared" si="121"/>
        <v>#REF!</v>
      </c>
      <c r="C339" s="57"/>
      <c r="D339" s="57"/>
      <c r="E339" s="57"/>
      <c r="F339" s="139"/>
      <c r="G339" s="442" t="s">
        <v>375</v>
      </c>
      <c r="H339" s="443"/>
      <c r="I339" s="223">
        <f>178090+5694</f>
        <v>183784</v>
      </c>
      <c r="J339" s="60"/>
      <c r="K339" s="60"/>
      <c r="L339" s="61"/>
      <c r="M339" s="61"/>
      <c r="N339" s="61"/>
    </row>
    <row r="340" spans="1:14" s="54" customFormat="1" ht="40.5" customHeight="1" x14ac:dyDescent="0.25">
      <c r="A340" s="124" t="e">
        <f t="shared" si="121"/>
        <v>#REF!</v>
      </c>
      <c r="C340" s="55"/>
      <c r="D340" s="55"/>
      <c r="E340" s="55"/>
      <c r="F340" s="65"/>
      <c r="G340" s="444"/>
      <c r="H340" s="444"/>
      <c r="I340" s="125"/>
      <c r="J340" s="126"/>
      <c r="K340" s="126"/>
      <c r="L340" s="127"/>
      <c r="M340" s="128"/>
      <c r="N340" s="128"/>
    </row>
    <row r="341" spans="1:14" ht="34.5" customHeight="1" x14ac:dyDescent="0.25">
      <c r="A341" s="124" t="e">
        <f>#REF!</f>
        <v>#REF!</v>
      </c>
      <c r="C341" s="55"/>
      <c r="D341" s="55"/>
      <c r="E341" s="55"/>
      <c r="F341" s="467" t="s">
        <v>474</v>
      </c>
      <c r="G341" s="467"/>
      <c r="H341" s="467"/>
      <c r="I341" s="467"/>
      <c r="J341" s="467"/>
      <c r="K341" s="66"/>
      <c r="L341" s="66"/>
    </row>
    <row r="342" spans="1:14" ht="10.5" customHeight="1" x14ac:dyDescent="0.25">
      <c r="A342" s="124" t="e">
        <f t="shared" si="121"/>
        <v>#REF!</v>
      </c>
      <c r="C342" s="55"/>
      <c r="D342" s="55"/>
      <c r="E342" s="55"/>
      <c r="F342" s="55"/>
      <c r="G342" s="55"/>
      <c r="H342" s="105"/>
      <c r="I342" s="105"/>
      <c r="J342" s="105"/>
      <c r="K342" s="66"/>
      <c r="L342" s="66"/>
    </row>
    <row r="343" spans="1:14" ht="45" x14ac:dyDescent="0.25">
      <c r="A343" s="124" t="e">
        <f t="shared" si="121"/>
        <v>#REF!</v>
      </c>
      <c r="C343" s="55">
        <v>0</v>
      </c>
      <c r="D343" s="55"/>
      <c r="E343" s="55"/>
      <c r="F343" s="249" t="s">
        <v>2</v>
      </c>
      <c r="G343" s="227" t="s">
        <v>225</v>
      </c>
      <c r="H343" s="90" t="s">
        <v>239</v>
      </c>
      <c r="I343" s="227" t="s">
        <v>377</v>
      </c>
      <c r="J343" s="90" t="s">
        <v>475</v>
      </c>
      <c r="K343" s="66"/>
      <c r="L343" s="1"/>
    </row>
    <row r="344" spans="1:14" ht="15" customHeight="1" x14ac:dyDescent="0.25">
      <c r="A344" s="124" t="e">
        <f t="shared" si="121"/>
        <v>#REF!</v>
      </c>
      <c r="C344" s="55">
        <v>1</v>
      </c>
      <c r="D344" s="55"/>
      <c r="E344" s="55"/>
      <c r="F344" s="461"/>
      <c r="G344" s="445" t="s">
        <v>289</v>
      </c>
      <c r="H344" s="466" t="s">
        <v>385</v>
      </c>
      <c r="I344" s="162">
        <v>1</v>
      </c>
      <c r="J344" s="164">
        <v>7</v>
      </c>
      <c r="K344" s="66"/>
      <c r="L344" s="1"/>
    </row>
    <row r="345" spans="1:14" ht="15.75" customHeight="1" x14ac:dyDescent="0.25">
      <c r="A345" s="124" t="e">
        <f t="shared" si="121"/>
        <v>#REF!</v>
      </c>
      <c r="C345" s="55">
        <v>2</v>
      </c>
      <c r="D345" s="55"/>
      <c r="E345" s="55"/>
      <c r="F345" s="461"/>
      <c r="G345" s="445"/>
      <c r="H345" s="466"/>
      <c r="I345" s="162">
        <v>2</v>
      </c>
      <c r="J345" s="164">
        <v>50</v>
      </c>
      <c r="K345" s="66"/>
      <c r="L345" s="1"/>
    </row>
    <row r="346" spans="1:14" ht="15.75" x14ac:dyDescent="0.25">
      <c r="A346" s="124" t="e">
        <f t="shared" si="121"/>
        <v>#REF!</v>
      </c>
      <c r="C346" s="55">
        <v>3</v>
      </c>
      <c r="D346" s="55"/>
      <c r="E346" s="55"/>
      <c r="F346" s="461"/>
      <c r="G346" s="445"/>
      <c r="H346" s="462" t="s">
        <v>386</v>
      </c>
      <c r="I346" s="162">
        <v>10</v>
      </c>
      <c r="J346" s="164">
        <v>15</v>
      </c>
      <c r="K346" s="66"/>
      <c r="L346" s="1"/>
    </row>
    <row r="347" spans="1:14" ht="15.75" x14ac:dyDescent="0.25">
      <c r="A347" s="124" t="e">
        <f t="shared" si="121"/>
        <v>#REF!</v>
      </c>
      <c r="C347" s="55">
        <v>4</v>
      </c>
      <c r="D347" s="55"/>
      <c r="E347" s="55"/>
      <c r="F347" s="461"/>
      <c r="G347" s="445"/>
      <c r="H347" s="462"/>
      <c r="I347" s="162">
        <v>11</v>
      </c>
      <c r="J347" s="164">
        <v>9</v>
      </c>
      <c r="K347" s="66"/>
      <c r="L347" s="1"/>
    </row>
    <row r="348" spans="1:14" ht="15.75" x14ac:dyDescent="0.25">
      <c r="A348" s="124" t="e">
        <f t="shared" si="121"/>
        <v>#REF!</v>
      </c>
      <c r="C348" s="55">
        <v>5</v>
      </c>
      <c r="D348" s="55"/>
      <c r="E348" s="55"/>
      <c r="F348" s="461"/>
      <c r="G348" s="445"/>
      <c r="H348" s="462" t="s">
        <v>387</v>
      </c>
      <c r="I348" s="162">
        <v>12</v>
      </c>
      <c r="J348" s="164">
        <v>180</v>
      </c>
      <c r="K348" s="66"/>
      <c r="L348" s="1"/>
    </row>
    <row r="349" spans="1:14" ht="15.75" x14ac:dyDescent="0.25">
      <c r="A349" s="124" t="e">
        <f t="shared" si="121"/>
        <v>#REF!</v>
      </c>
      <c r="C349" s="55">
        <v>6</v>
      </c>
      <c r="D349" s="55"/>
      <c r="E349" s="55"/>
      <c r="F349" s="461"/>
      <c r="G349" s="445"/>
      <c r="H349" s="462"/>
      <c r="I349" s="162">
        <v>13</v>
      </c>
      <c r="J349" s="164">
        <v>5</v>
      </c>
      <c r="K349" s="66"/>
      <c r="L349" s="1"/>
    </row>
    <row r="350" spans="1:14" ht="15.75" x14ac:dyDescent="0.25">
      <c r="A350" s="124" t="e">
        <f t="shared" si="121"/>
        <v>#REF!</v>
      </c>
      <c r="C350" s="55">
        <v>7</v>
      </c>
      <c r="D350" s="55"/>
      <c r="E350" s="55"/>
      <c r="F350" s="461"/>
      <c r="G350" s="445"/>
      <c r="H350" s="462"/>
      <c r="I350" s="162">
        <v>14</v>
      </c>
      <c r="J350" s="164">
        <v>20</v>
      </c>
      <c r="K350" s="66"/>
      <c r="L350" s="1"/>
    </row>
    <row r="351" spans="1:14" ht="15.75" x14ac:dyDescent="0.25">
      <c r="A351" s="124" t="e">
        <f t="shared" si="121"/>
        <v>#REF!</v>
      </c>
      <c r="C351" s="55">
        <v>8</v>
      </c>
      <c r="D351" s="55"/>
      <c r="E351" s="55"/>
      <c r="F351" s="461"/>
      <c r="G351" s="445"/>
      <c r="H351" s="462"/>
      <c r="I351" s="162">
        <v>16</v>
      </c>
      <c r="J351" s="164">
        <v>120</v>
      </c>
      <c r="K351" s="66"/>
      <c r="L351" s="1"/>
    </row>
    <row r="352" spans="1:14" ht="15.75" x14ac:dyDescent="0.25">
      <c r="A352" s="124" t="e">
        <f t="shared" si="121"/>
        <v>#REF!</v>
      </c>
      <c r="C352" s="55">
        <v>9</v>
      </c>
      <c r="D352" s="55"/>
      <c r="E352" s="55"/>
      <c r="F352" s="461"/>
      <c r="G352" s="445"/>
      <c r="H352" s="462"/>
      <c r="I352" s="162">
        <v>17</v>
      </c>
      <c r="J352" s="164">
        <v>40</v>
      </c>
      <c r="K352" s="66"/>
      <c r="L352" s="1"/>
    </row>
    <row r="353" spans="1:12" ht="15.75" x14ac:dyDescent="0.25">
      <c r="A353" s="124" t="e">
        <f t="shared" si="121"/>
        <v>#REF!</v>
      </c>
      <c r="C353" s="55">
        <v>10</v>
      </c>
      <c r="D353" s="55"/>
      <c r="E353" s="55"/>
      <c r="F353" s="461"/>
      <c r="G353" s="445"/>
      <c r="H353" s="462" t="s">
        <v>182</v>
      </c>
      <c r="I353" s="162">
        <v>21</v>
      </c>
      <c r="J353" s="164">
        <v>100</v>
      </c>
      <c r="K353" s="66"/>
      <c r="L353" s="1"/>
    </row>
    <row r="354" spans="1:12" ht="15.75" x14ac:dyDescent="0.25">
      <c r="A354" s="124" t="e">
        <f t="shared" si="121"/>
        <v>#REF!</v>
      </c>
      <c r="C354" s="55">
        <v>11</v>
      </c>
      <c r="D354" s="55"/>
      <c r="E354" s="55"/>
      <c r="F354" s="461"/>
      <c r="G354" s="445"/>
      <c r="H354" s="462"/>
      <c r="I354" s="162">
        <v>23</v>
      </c>
      <c r="J354" s="164">
        <v>75</v>
      </c>
      <c r="K354" s="66"/>
      <c r="L354" s="1"/>
    </row>
    <row r="355" spans="1:12" ht="15.75" x14ac:dyDescent="0.25">
      <c r="A355" s="124" t="e">
        <f t="shared" si="121"/>
        <v>#REF!</v>
      </c>
      <c r="C355" s="55">
        <v>12</v>
      </c>
      <c r="D355" s="55"/>
      <c r="E355" s="55"/>
      <c r="F355" s="461"/>
      <c r="G355" s="445"/>
      <c r="H355" s="462"/>
      <c r="I355" s="162">
        <v>24</v>
      </c>
      <c r="J355" s="164">
        <v>60</v>
      </c>
      <c r="K355" s="66"/>
      <c r="L355" s="1"/>
    </row>
    <row r="356" spans="1:12" ht="15.75" customHeight="1" x14ac:dyDescent="0.25">
      <c r="A356" s="124" t="e">
        <f t="shared" si="121"/>
        <v>#REF!</v>
      </c>
      <c r="C356" s="55">
        <v>13</v>
      </c>
      <c r="D356" s="55"/>
      <c r="E356" s="55"/>
      <c r="F356" s="461"/>
      <c r="G356" s="445"/>
      <c r="H356" s="243" t="s">
        <v>388</v>
      </c>
      <c r="I356" s="162">
        <v>28</v>
      </c>
      <c r="J356" s="164">
        <v>40</v>
      </c>
      <c r="K356" s="66"/>
      <c r="L356" s="1"/>
    </row>
    <row r="357" spans="1:12" ht="15.75" x14ac:dyDescent="0.25">
      <c r="A357" s="124" t="e">
        <f t="shared" si="121"/>
        <v>#REF!</v>
      </c>
      <c r="C357" s="55">
        <v>14</v>
      </c>
      <c r="D357" s="55"/>
      <c r="E357" s="55"/>
      <c r="F357" s="461"/>
      <c r="G357" s="445"/>
      <c r="H357" s="462" t="s">
        <v>389</v>
      </c>
      <c r="I357" s="162">
        <v>31</v>
      </c>
      <c r="J357" s="164">
        <f>80-25</f>
        <v>55</v>
      </c>
      <c r="K357" s="66"/>
      <c r="L357" s="1"/>
    </row>
    <row r="358" spans="1:12" ht="15.75" x14ac:dyDescent="0.25">
      <c r="A358" s="124" t="e">
        <f t="shared" si="121"/>
        <v>#REF!</v>
      </c>
      <c r="C358" s="55">
        <v>15</v>
      </c>
      <c r="D358" s="55"/>
      <c r="E358" s="55"/>
      <c r="F358" s="461"/>
      <c r="G358" s="445"/>
      <c r="H358" s="462"/>
      <c r="I358" s="162">
        <v>32</v>
      </c>
      <c r="J358" s="164">
        <v>15</v>
      </c>
      <c r="K358" s="66"/>
      <c r="L358" s="1"/>
    </row>
    <row r="359" spans="1:12" ht="15.75" x14ac:dyDescent="0.25">
      <c r="A359" s="124" t="e">
        <f t="shared" si="121"/>
        <v>#REF!</v>
      </c>
      <c r="C359" s="55">
        <v>16</v>
      </c>
      <c r="D359" s="55"/>
      <c r="E359" s="55"/>
      <c r="F359" s="461"/>
      <c r="G359" s="445"/>
      <c r="H359" s="462"/>
      <c r="I359" s="162">
        <v>33</v>
      </c>
      <c r="J359" s="164">
        <v>10</v>
      </c>
      <c r="K359" s="66"/>
      <c r="L359" s="1"/>
    </row>
    <row r="360" spans="1:12" ht="15.75" x14ac:dyDescent="0.25">
      <c r="A360" s="124" t="e">
        <f t="shared" si="121"/>
        <v>#REF!</v>
      </c>
      <c r="C360" s="55">
        <v>17</v>
      </c>
      <c r="D360" s="55"/>
      <c r="E360" s="55"/>
      <c r="F360" s="461"/>
      <c r="G360" s="445"/>
      <c r="H360" s="462"/>
      <c r="I360" s="162">
        <v>34</v>
      </c>
      <c r="J360" s="164">
        <v>200</v>
      </c>
      <c r="K360" s="66"/>
      <c r="L360" s="1"/>
    </row>
    <row r="361" spans="1:12" ht="15.75" customHeight="1" x14ac:dyDescent="0.25">
      <c r="A361" s="124" t="e">
        <f t="shared" si="121"/>
        <v>#REF!</v>
      </c>
      <c r="C361" s="55">
        <v>18</v>
      </c>
      <c r="D361" s="55"/>
      <c r="E361" s="55"/>
      <c r="F361" s="461"/>
      <c r="G361" s="445"/>
      <c r="H361" s="462" t="s">
        <v>390</v>
      </c>
      <c r="I361" s="162">
        <v>44</v>
      </c>
      <c r="J361" s="164">
        <f>400-8</f>
        <v>392</v>
      </c>
      <c r="K361" s="66"/>
      <c r="L361" s="1"/>
    </row>
    <row r="362" spans="1:12" ht="15.75" x14ac:dyDescent="0.25">
      <c r="A362" s="124" t="e">
        <f t="shared" si="121"/>
        <v>#REF!</v>
      </c>
      <c r="C362" s="55">
        <v>19</v>
      </c>
      <c r="D362" s="55"/>
      <c r="E362" s="55"/>
      <c r="F362" s="461"/>
      <c r="G362" s="445"/>
      <c r="H362" s="462"/>
      <c r="I362" s="162">
        <v>45</v>
      </c>
      <c r="J362" s="164">
        <f>100-3</f>
        <v>97</v>
      </c>
      <c r="K362" s="66"/>
      <c r="L362" s="1"/>
    </row>
    <row r="363" spans="1:12" ht="15.75" x14ac:dyDescent="0.25">
      <c r="A363" s="124" t="e">
        <f t="shared" si="121"/>
        <v>#REF!</v>
      </c>
      <c r="C363" s="55">
        <v>20</v>
      </c>
      <c r="D363" s="55"/>
      <c r="E363" s="55"/>
      <c r="F363" s="461"/>
      <c r="G363" s="445"/>
      <c r="H363" s="462"/>
      <c r="I363" s="162">
        <v>46</v>
      </c>
      <c r="J363" s="164">
        <f>30-2</f>
        <v>28</v>
      </c>
      <c r="K363" s="66"/>
      <c r="L363" s="1"/>
    </row>
    <row r="364" spans="1:12" ht="15.75" x14ac:dyDescent="0.25">
      <c r="A364" s="124" t="e">
        <f t="shared" si="121"/>
        <v>#REF!</v>
      </c>
      <c r="C364" s="55">
        <v>21</v>
      </c>
      <c r="D364" s="55"/>
      <c r="E364" s="55"/>
      <c r="F364" s="461"/>
      <c r="G364" s="445"/>
      <c r="H364" s="462"/>
      <c r="I364" s="162">
        <v>47</v>
      </c>
      <c r="J364" s="164">
        <f>250-10</f>
        <v>240</v>
      </c>
      <c r="K364" s="66"/>
      <c r="L364" s="1"/>
    </row>
    <row r="365" spans="1:12" ht="15.75" x14ac:dyDescent="0.25">
      <c r="A365" s="124" t="e">
        <f t="shared" si="121"/>
        <v>#REF!</v>
      </c>
      <c r="C365" s="55">
        <v>22</v>
      </c>
      <c r="D365" s="55"/>
      <c r="E365" s="55"/>
      <c r="F365" s="461"/>
      <c r="G365" s="445"/>
      <c r="H365" s="462"/>
      <c r="I365" s="162">
        <v>48</v>
      </c>
      <c r="J365" s="164">
        <f>80-3</f>
        <v>77</v>
      </c>
      <c r="K365" s="66"/>
      <c r="L365" s="1"/>
    </row>
    <row r="366" spans="1:12" ht="15.75" x14ac:dyDescent="0.25">
      <c r="A366" s="124" t="e">
        <f t="shared" si="121"/>
        <v>#REF!</v>
      </c>
      <c r="C366" s="55">
        <v>23</v>
      </c>
      <c r="D366" s="55"/>
      <c r="E366" s="55"/>
      <c r="F366" s="461"/>
      <c r="G366" s="445"/>
      <c r="H366" s="462"/>
      <c r="I366" s="162">
        <v>49</v>
      </c>
      <c r="J366" s="164">
        <f>30-2</f>
        <v>28</v>
      </c>
      <c r="K366" s="66"/>
      <c r="L366" s="1"/>
    </row>
    <row r="367" spans="1:12" ht="15.75" x14ac:dyDescent="0.25">
      <c r="C367" s="55"/>
      <c r="D367" s="55"/>
      <c r="E367" s="55"/>
      <c r="F367" s="461"/>
      <c r="G367" s="445"/>
      <c r="H367" s="462"/>
      <c r="I367" s="162">
        <v>50</v>
      </c>
      <c r="J367" s="164">
        <v>20</v>
      </c>
      <c r="K367" s="66"/>
      <c r="L367" s="1"/>
    </row>
    <row r="368" spans="1:12" ht="15.75" x14ac:dyDescent="0.25">
      <c r="C368" s="55"/>
      <c r="D368" s="55"/>
      <c r="E368" s="55"/>
      <c r="F368" s="461"/>
      <c r="G368" s="445"/>
      <c r="H368" s="462"/>
      <c r="I368" s="162">
        <v>51</v>
      </c>
      <c r="J368" s="164">
        <v>5</v>
      </c>
      <c r="K368" s="66"/>
      <c r="L368" s="1"/>
    </row>
    <row r="369" spans="1:12" ht="15.75" x14ac:dyDescent="0.25">
      <c r="C369" s="55"/>
      <c r="D369" s="55"/>
      <c r="E369" s="55"/>
      <c r="F369" s="461"/>
      <c r="G369" s="445"/>
      <c r="H369" s="462"/>
      <c r="I369" s="162">
        <v>52</v>
      </c>
      <c r="J369" s="164">
        <v>5</v>
      </c>
      <c r="K369" s="66"/>
      <c r="L369" s="1"/>
    </row>
    <row r="370" spans="1:12" ht="15.75" x14ac:dyDescent="0.25">
      <c r="A370" s="124" t="e">
        <f>A366</f>
        <v>#REF!</v>
      </c>
      <c r="C370" s="55">
        <v>24</v>
      </c>
      <c r="D370" s="55"/>
      <c r="E370" s="55"/>
      <c r="F370" s="461"/>
      <c r="G370" s="445"/>
      <c r="H370" s="462"/>
      <c r="I370" s="162">
        <v>53</v>
      </c>
      <c r="J370" s="164">
        <v>15</v>
      </c>
      <c r="K370" s="66"/>
      <c r="L370" s="1"/>
    </row>
    <row r="371" spans="1:12" ht="15.75" x14ac:dyDescent="0.25">
      <c r="A371" s="124" t="e">
        <f t="shared" si="121"/>
        <v>#REF!</v>
      </c>
      <c r="C371" s="55">
        <v>25</v>
      </c>
      <c r="D371" s="55"/>
      <c r="E371" s="55"/>
      <c r="F371" s="461"/>
      <c r="G371" s="445"/>
      <c r="H371" s="462"/>
      <c r="I371" s="162">
        <v>55</v>
      </c>
      <c r="J371" s="164">
        <v>35</v>
      </c>
      <c r="K371" s="66"/>
      <c r="L371" s="1"/>
    </row>
    <row r="372" spans="1:12" ht="15.75" x14ac:dyDescent="0.25">
      <c r="A372" s="124" t="e">
        <f t="shared" si="121"/>
        <v>#REF!</v>
      </c>
      <c r="C372" s="55">
        <v>26</v>
      </c>
      <c r="D372" s="55"/>
      <c r="E372" s="55"/>
      <c r="F372" s="461"/>
      <c r="G372" s="445"/>
      <c r="H372" s="462"/>
      <c r="I372" s="162">
        <v>56</v>
      </c>
      <c r="J372" s="164">
        <v>220</v>
      </c>
      <c r="K372" s="66"/>
      <c r="L372" s="1"/>
    </row>
    <row r="373" spans="1:12" ht="15.75" x14ac:dyDescent="0.25">
      <c r="A373" s="124" t="e">
        <f t="shared" si="121"/>
        <v>#REF!</v>
      </c>
      <c r="C373" s="55">
        <v>27</v>
      </c>
      <c r="D373" s="55"/>
      <c r="E373" s="55"/>
      <c r="F373" s="461"/>
      <c r="G373" s="445"/>
      <c r="H373" s="462"/>
      <c r="I373" s="162">
        <v>62</v>
      </c>
      <c r="J373" s="164">
        <v>20</v>
      </c>
      <c r="K373" s="66"/>
      <c r="L373" s="1"/>
    </row>
    <row r="374" spans="1:12" ht="15.75" x14ac:dyDescent="0.25">
      <c r="A374" s="124" t="e">
        <f t="shared" si="121"/>
        <v>#REF!</v>
      </c>
      <c r="C374" s="55">
        <v>28</v>
      </c>
      <c r="D374" s="55"/>
      <c r="E374" s="55"/>
      <c r="F374" s="461"/>
      <c r="G374" s="445"/>
      <c r="H374" s="462"/>
      <c r="I374" s="162">
        <v>65</v>
      </c>
      <c r="J374" s="164">
        <v>25</v>
      </c>
      <c r="K374" s="66"/>
      <c r="L374" s="1"/>
    </row>
    <row r="375" spans="1:12" ht="15.75" customHeight="1" x14ac:dyDescent="0.25">
      <c r="C375" s="55">
        <v>29</v>
      </c>
      <c r="D375" s="55"/>
      <c r="E375" s="55"/>
      <c r="F375" s="461"/>
      <c r="G375" s="445"/>
      <c r="H375" s="462" t="s">
        <v>391</v>
      </c>
      <c r="I375" s="162">
        <v>68</v>
      </c>
      <c r="J375" s="164">
        <v>30</v>
      </c>
      <c r="K375" s="66"/>
      <c r="L375" s="1"/>
    </row>
    <row r="376" spans="1:12" ht="15.75" x14ac:dyDescent="0.25">
      <c r="C376" s="55">
        <v>30</v>
      </c>
      <c r="D376" s="55"/>
      <c r="E376" s="55"/>
      <c r="F376" s="461"/>
      <c r="G376" s="445"/>
      <c r="H376" s="462"/>
      <c r="I376" s="162">
        <v>69</v>
      </c>
      <c r="J376" s="164">
        <v>20</v>
      </c>
      <c r="K376" s="66"/>
      <c r="L376" s="1"/>
    </row>
    <row r="377" spans="1:12" ht="15.75" customHeight="1" x14ac:dyDescent="0.25">
      <c r="C377" s="55">
        <v>31</v>
      </c>
      <c r="D377" s="55"/>
      <c r="E377" s="55"/>
      <c r="F377" s="461"/>
      <c r="G377" s="445"/>
      <c r="H377" s="462" t="s">
        <v>392</v>
      </c>
      <c r="I377" s="162">
        <v>70</v>
      </c>
      <c r="J377" s="164">
        <v>200</v>
      </c>
      <c r="K377" s="66"/>
      <c r="L377" s="1"/>
    </row>
    <row r="378" spans="1:12" ht="15.75" x14ac:dyDescent="0.25">
      <c r="C378" s="55">
        <v>32</v>
      </c>
      <c r="D378" s="55"/>
      <c r="E378" s="55"/>
      <c r="F378" s="461"/>
      <c r="G378" s="445"/>
      <c r="H378" s="462"/>
      <c r="I378" s="162">
        <v>72</v>
      </c>
      <c r="J378" s="164">
        <v>150</v>
      </c>
      <c r="K378" s="66"/>
      <c r="L378" s="1"/>
    </row>
    <row r="379" spans="1:12" ht="15.75" x14ac:dyDescent="0.25">
      <c r="C379" s="55">
        <v>33</v>
      </c>
      <c r="D379" s="55"/>
      <c r="E379" s="55"/>
      <c r="F379" s="461"/>
      <c r="G379" s="445"/>
      <c r="H379" s="462"/>
      <c r="I379" s="162">
        <v>73</v>
      </c>
      <c r="J379" s="164">
        <v>150</v>
      </c>
      <c r="K379" s="66"/>
      <c r="L379" s="1"/>
    </row>
    <row r="380" spans="1:12" ht="15.75" x14ac:dyDescent="0.25">
      <c r="C380" s="55">
        <v>34</v>
      </c>
      <c r="D380" s="55"/>
      <c r="E380" s="55"/>
      <c r="F380" s="461"/>
      <c r="G380" s="445"/>
      <c r="H380" s="462"/>
      <c r="I380" s="162">
        <v>76</v>
      </c>
      <c r="J380" s="164">
        <v>10</v>
      </c>
      <c r="K380" s="66"/>
      <c r="L380" s="1"/>
    </row>
    <row r="381" spans="1:12" ht="15.75" x14ac:dyDescent="0.25">
      <c r="A381" s="124" t="e">
        <f>A374</f>
        <v>#REF!</v>
      </c>
      <c r="C381" s="55">
        <v>35</v>
      </c>
      <c r="D381" s="55"/>
      <c r="E381" s="55"/>
      <c r="F381" s="461"/>
      <c r="G381" s="445"/>
      <c r="H381" s="462"/>
      <c r="I381" s="162">
        <v>77</v>
      </c>
      <c r="J381" s="164">
        <v>350</v>
      </c>
      <c r="K381" s="66"/>
      <c r="L381" s="1"/>
    </row>
    <row r="382" spans="1:12" ht="15.75" x14ac:dyDescent="0.25">
      <c r="A382" s="124" t="e">
        <f t="shared" si="121"/>
        <v>#REF!</v>
      </c>
      <c r="C382" s="55">
        <v>36</v>
      </c>
      <c r="D382" s="55"/>
      <c r="E382" s="55"/>
      <c r="F382" s="461"/>
      <c r="G382" s="445"/>
      <c r="H382" s="462"/>
      <c r="I382" s="162">
        <v>78</v>
      </c>
      <c r="J382" s="164">
        <v>50</v>
      </c>
      <c r="K382" s="66"/>
      <c r="L382" s="1"/>
    </row>
    <row r="383" spans="1:12" ht="15.75" x14ac:dyDescent="0.25">
      <c r="A383" s="124" t="e">
        <f t="shared" si="121"/>
        <v>#REF!</v>
      </c>
      <c r="C383" s="55">
        <v>37</v>
      </c>
      <c r="D383" s="55"/>
      <c r="E383" s="55"/>
      <c r="F383" s="461"/>
      <c r="G383" s="445"/>
      <c r="H383" s="462" t="s">
        <v>393</v>
      </c>
      <c r="I383" s="162">
        <v>79</v>
      </c>
      <c r="J383" s="164">
        <v>13</v>
      </c>
      <c r="K383" s="66"/>
      <c r="L383" s="1"/>
    </row>
    <row r="384" spans="1:12" ht="15.75" x14ac:dyDescent="0.25">
      <c r="A384" s="124" t="e">
        <f t="shared" ref="A384:A453" si="132">A383</f>
        <v>#REF!</v>
      </c>
      <c r="C384" s="55">
        <v>38</v>
      </c>
      <c r="D384" s="55"/>
      <c r="E384" s="55"/>
      <c r="F384" s="461"/>
      <c r="G384" s="445"/>
      <c r="H384" s="462"/>
      <c r="I384" s="162">
        <v>81</v>
      </c>
      <c r="J384" s="164">
        <f>40-27</f>
        <v>13</v>
      </c>
      <c r="K384" s="66"/>
      <c r="L384" s="1"/>
    </row>
    <row r="385" spans="1:12" ht="15.75" x14ac:dyDescent="0.25">
      <c r="A385" s="124" t="e">
        <f t="shared" si="132"/>
        <v>#REF!</v>
      </c>
      <c r="C385" s="55">
        <v>39</v>
      </c>
      <c r="D385" s="55"/>
      <c r="E385" s="55"/>
      <c r="F385" s="461"/>
      <c r="G385" s="445"/>
      <c r="H385" s="463" t="s">
        <v>394</v>
      </c>
      <c r="I385" s="163">
        <v>82</v>
      </c>
      <c r="J385" s="164">
        <v>65</v>
      </c>
      <c r="K385" s="66"/>
      <c r="L385" s="1"/>
    </row>
    <row r="386" spans="1:12" ht="15.75" x14ac:dyDescent="0.25">
      <c r="A386" s="124" t="e">
        <f t="shared" si="132"/>
        <v>#REF!</v>
      </c>
      <c r="C386" s="55">
        <v>40</v>
      </c>
      <c r="D386" s="55"/>
      <c r="E386" s="55"/>
      <c r="F386" s="461"/>
      <c r="G386" s="445"/>
      <c r="H386" s="463"/>
      <c r="I386" s="163">
        <v>84</v>
      </c>
      <c r="J386" s="164">
        <v>20</v>
      </c>
      <c r="K386" s="66"/>
      <c r="L386" s="1"/>
    </row>
    <row r="387" spans="1:12" ht="15.75" customHeight="1" x14ac:dyDescent="0.25">
      <c r="A387" s="124" t="e">
        <f t="shared" si="132"/>
        <v>#REF!</v>
      </c>
      <c r="C387" s="55">
        <v>41</v>
      </c>
      <c r="D387" s="55"/>
      <c r="E387" s="55"/>
      <c r="F387" s="461"/>
      <c r="G387" s="445"/>
      <c r="H387" s="244" t="s">
        <v>395</v>
      </c>
      <c r="I387" s="163">
        <v>86</v>
      </c>
      <c r="J387" s="164">
        <v>20</v>
      </c>
      <c r="K387" s="66"/>
      <c r="L387" s="1"/>
    </row>
    <row r="388" spans="1:12" ht="15.75" x14ac:dyDescent="0.25">
      <c r="A388" s="124" t="e">
        <f t="shared" si="132"/>
        <v>#REF!</v>
      </c>
      <c r="C388" s="55">
        <v>42</v>
      </c>
      <c r="D388" s="55"/>
      <c r="E388" s="55"/>
      <c r="F388" s="461"/>
      <c r="G388" s="445"/>
      <c r="H388" s="244" t="s">
        <v>396</v>
      </c>
      <c r="I388" s="163">
        <v>87</v>
      </c>
      <c r="J388" s="164">
        <v>20</v>
      </c>
      <c r="K388" s="66"/>
      <c r="L388" s="1"/>
    </row>
    <row r="389" spans="1:12" ht="15.75" x14ac:dyDescent="0.25">
      <c r="A389" s="124" t="e">
        <f t="shared" si="132"/>
        <v>#REF!</v>
      </c>
      <c r="C389" s="55">
        <v>43</v>
      </c>
      <c r="D389" s="55"/>
      <c r="E389" s="55"/>
      <c r="F389" s="268">
        <v>144</v>
      </c>
      <c r="G389" s="250" t="s">
        <v>476</v>
      </c>
      <c r="H389" s="251"/>
      <c r="I389" s="252"/>
      <c r="J389" s="253">
        <f>SUM(J344:J388)</f>
        <v>3319</v>
      </c>
      <c r="K389" s="66"/>
      <c r="L389" s="1"/>
    </row>
    <row r="390" spans="1:12" ht="15.75" customHeight="1" x14ac:dyDescent="0.25">
      <c r="A390" s="124" t="e">
        <f t="shared" si="132"/>
        <v>#REF!</v>
      </c>
      <c r="C390" s="55">
        <v>44</v>
      </c>
      <c r="D390" s="55"/>
      <c r="E390" s="55"/>
      <c r="F390" s="461"/>
      <c r="G390" s="445" t="s">
        <v>378</v>
      </c>
      <c r="H390" s="463" t="s">
        <v>392</v>
      </c>
      <c r="I390" s="163">
        <v>70</v>
      </c>
      <c r="J390" s="164">
        <f>15+5+5</f>
        <v>25</v>
      </c>
      <c r="K390" s="66"/>
      <c r="L390" s="1"/>
    </row>
    <row r="391" spans="1:12" ht="15.75" customHeight="1" x14ac:dyDescent="0.25">
      <c r="A391" s="124" t="e">
        <f t="shared" si="132"/>
        <v>#REF!</v>
      </c>
      <c r="C391" s="55">
        <v>45</v>
      </c>
      <c r="D391" s="55"/>
      <c r="E391" s="55"/>
      <c r="F391" s="461"/>
      <c r="G391" s="445"/>
      <c r="H391" s="463"/>
      <c r="I391" s="163">
        <v>72</v>
      </c>
      <c r="J391" s="164">
        <f>40-10</f>
        <v>30</v>
      </c>
      <c r="K391" s="66"/>
      <c r="L391" s="1"/>
    </row>
    <row r="392" spans="1:12" ht="15.75" x14ac:dyDescent="0.25">
      <c r="A392" s="124" t="e">
        <f t="shared" si="132"/>
        <v>#REF!</v>
      </c>
      <c r="C392" s="55">
        <v>46</v>
      </c>
      <c r="D392" s="55"/>
      <c r="E392" s="55"/>
      <c r="F392" s="461"/>
      <c r="G392" s="445"/>
      <c r="H392" s="463"/>
      <c r="I392" s="163">
        <v>73</v>
      </c>
      <c r="J392" s="164">
        <f>25+5+5</f>
        <v>35</v>
      </c>
      <c r="K392" s="66"/>
      <c r="L392" s="1"/>
    </row>
    <row r="393" spans="1:12" ht="15" customHeight="1" x14ac:dyDescent="0.25">
      <c r="A393" s="124" t="e">
        <f t="shared" si="132"/>
        <v>#REF!</v>
      </c>
      <c r="C393" s="55">
        <v>47</v>
      </c>
      <c r="D393" s="55"/>
      <c r="E393" s="55"/>
      <c r="F393" s="461"/>
      <c r="G393" s="445"/>
      <c r="H393" s="463"/>
      <c r="I393" s="163">
        <v>78</v>
      </c>
      <c r="J393" s="164">
        <f>50-10</f>
        <v>40</v>
      </c>
      <c r="K393" s="66"/>
      <c r="L393" s="1"/>
    </row>
    <row r="394" spans="1:12" ht="15.75" x14ac:dyDescent="0.25">
      <c r="A394" s="124" t="e">
        <f t="shared" si="132"/>
        <v>#REF!</v>
      </c>
      <c r="C394" s="55">
        <v>48</v>
      </c>
      <c r="D394" s="55"/>
      <c r="E394" s="55"/>
      <c r="F394" s="268">
        <v>49</v>
      </c>
      <c r="G394" s="250" t="s">
        <v>476</v>
      </c>
      <c r="H394" s="251"/>
      <c r="I394" s="252"/>
      <c r="J394" s="253">
        <f>SUM(J390:J393)</f>
        <v>130</v>
      </c>
      <c r="K394" s="66"/>
      <c r="L394" s="1"/>
    </row>
    <row r="395" spans="1:12" ht="15.75" customHeight="1" x14ac:dyDescent="0.25">
      <c r="A395" s="124" t="e">
        <f t="shared" si="132"/>
        <v>#REF!</v>
      </c>
      <c r="C395" s="55">
        <v>49</v>
      </c>
      <c r="D395" s="55"/>
      <c r="E395" s="55"/>
      <c r="F395" s="476"/>
      <c r="G395" s="473" t="s">
        <v>226</v>
      </c>
      <c r="H395" s="470" t="s">
        <v>392</v>
      </c>
      <c r="I395" s="163">
        <v>70</v>
      </c>
      <c r="J395" s="165">
        <f>200-60+56</f>
        <v>196</v>
      </c>
      <c r="K395" s="66"/>
      <c r="L395" s="1"/>
    </row>
    <row r="396" spans="1:12" ht="15.75" customHeight="1" x14ac:dyDescent="0.25">
      <c r="A396" s="124" t="e">
        <f t="shared" si="132"/>
        <v>#REF!</v>
      </c>
      <c r="C396" s="55">
        <v>50</v>
      </c>
      <c r="D396" s="55"/>
      <c r="E396" s="55"/>
      <c r="F396" s="477"/>
      <c r="G396" s="474"/>
      <c r="H396" s="471"/>
      <c r="I396" s="163">
        <v>71</v>
      </c>
      <c r="J396" s="165">
        <f>10-5+56</f>
        <v>61</v>
      </c>
      <c r="K396" s="66"/>
      <c r="L396" s="1"/>
    </row>
    <row r="397" spans="1:12" ht="15" customHeight="1" x14ac:dyDescent="0.25">
      <c r="A397" s="124" t="e">
        <f t="shared" si="132"/>
        <v>#REF!</v>
      </c>
      <c r="C397" s="55">
        <v>51</v>
      </c>
      <c r="D397" s="55"/>
      <c r="E397" s="55"/>
      <c r="F397" s="477"/>
      <c r="G397" s="474"/>
      <c r="H397" s="471"/>
      <c r="I397" s="163">
        <v>72</v>
      </c>
      <c r="J397" s="165">
        <f>30-10+6</f>
        <v>26</v>
      </c>
      <c r="K397" s="66"/>
      <c r="L397" s="1"/>
    </row>
    <row r="398" spans="1:12" ht="15.75" x14ac:dyDescent="0.25">
      <c r="A398" s="124" t="e">
        <f t="shared" si="132"/>
        <v>#REF!</v>
      </c>
      <c r="C398" s="55">
        <v>52</v>
      </c>
      <c r="D398" s="55"/>
      <c r="E398" s="55"/>
      <c r="F398" s="477"/>
      <c r="G398" s="474"/>
      <c r="H398" s="471"/>
      <c r="I398" s="163">
        <v>73</v>
      </c>
      <c r="J398" s="165">
        <f>70+30+8</f>
        <v>108</v>
      </c>
      <c r="K398" s="66"/>
      <c r="L398" s="1"/>
    </row>
    <row r="399" spans="1:12" ht="15.75" x14ac:dyDescent="0.25">
      <c r="C399" s="55"/>
      <c r="D399" s="55"/>
      <c r="E399" s="55"/>
      <c r="F399" s="477"/>
      <c r="G399" s="474"/>
      <c r="H399" s="471"/>
      <c r="I399" s="163">
        <v>75</v>
      </c>
      <c r="J399" s="165">
        <f>15+68</f>
        <v>83</v>
      </c>
      <c r="K399" s="66"/>
      <c r="L399" s="1"/>
    </row>
    <row r="400" spans="1:12" ht="15.75" x14ac:dyDescent="0.25">
      <c r="C400" s="55"/>
      <c r="D400" s="55"/>
      <c r="E400" s="55"/>
      <c r="F400" s="477"/>
      <c r="G400" s="474"/>
      <c r="H400" s="471"/>
      <c r="I400" s="163">
        <v>77</v>
      </c>
      <c r="J400" s="165">
        <f>10-10</f>
        <v>0</v>
      </c>
      <c r="K400" s="66"/>
      <c r="L400" s="1"/>
    </row>
    <row r="401" spans="1:12" ht="15.75" x14ac:dyDescent="0.25">
      <c r="C401" s="55"/>
      <c r="D401" s="55"/>
      <c r="E401" s="55"/>
      <c r="F401" s="478"/>
      <c r="G401" s="475"/>
      <c r="H401" s="472"/>
      <c r="I401" s="163">
        <v>78</v>
      </c>
      <c r="J401" s="165">
        <f>20+10</f>
        <v>30</v>
      </c>
      <c r="K401" s="66"/>
      <c r="L401" s="1"/>
    </row>
    <row r="402" spans="1:12" ht="15.75" x14ac:dyDescent="0.25">
      <c r="A402" s="124" t="e">
        <f>A398</f>
        <v>#REF!</v>
      </c>
      <c r="C402" s="55">
        <v>53</v>
      </c>
      <c r="D402" s="55"/>
      <c r="E402" s="55"/>
      <c r="F402" s="268">
        <v>28</v>
      </c>
      <c r="G402" s="250" t="s">
        <v>476</v>
      </c>
      <c r="H402" s="251"/>
      <c r="I402" s="252"/>
      <c r="J402" s="253">
        <f>SUM(J395:J401)</f>
        <v>504</v>
      </c>
      <c r="K402" s="66"/>
      <c r="L402" s="1"/>
    </row>
    <row r="403" spans="1:12" ht="15.75" customHeight="1" x14ac:dyDescent="0.25">
      <c r="A403" s="124" t="e">
        <f t="shared" si="132"/>
        <v>#REF!</v>
      </c>
      <c r="C403" s="55">
        <v>54</v>
      </c>
      <c r="D403" s="55"/>
      <c r="E403" s="55"/>
      <c r="F403" s="461"/>
      <c r="G403" s="445" t="s">
        <v>379</v>
      </c>
      <c r="H403" s="463" t="s">
        <v>392</v>
      </c>
      <c r="I403" s="163">
        <v>70</v>
      </c>
      <c r="J403" s="164">
        <v>43</v>
      </c>
      <c r="K403" s="66"/>
      <c r="L403" s="1"/>
    </row>
    <row r="404" spans="1:12" ht="15.75" x14ac:dyDescent="0.25">
      <c r="A404" s="124" t="e">
        <f t="shared" si="132"/>
        <v>#REF!</v>
      </c>
      <c r="C404" s="55">
        <v>55</v>
      </c>
      <c r="D404" s="55"/>
      <c r="E404" s="55"/>
      <c r="F404" s="461"/>
      <c r="G404" s="445"/>
      <c r="H404" s="463"/>
      <c r="I404" s="163">
        <v>72</v>
      </c>
      <c r="J404" s="164">
        <v>8</v>
      </c>
      <c r="K404" s="66"/>
      <c r="L404" s="1"/>
    </row>
    <row r="405" spans="1:12" ht="15.75" x14ac:dyDescent="0.25">
      <c r="A405" s="124" t="e">
        <f t="shared" si="132"/>
        <v>#REF!</v>
      </c>
      <c r="C405" s="55">
        <v>56</v>
      </c>
      <c r="D405" s="55"/>
      <c r="E405" s="55"/>
      <c r="F405" s="461"/>
      <c r="G405" s="445"/>
      <c r="H405" s="463"/>
      <c r="I405" s="163">
        <v>76</v>
      </c>
      <c r="J405" s="164">
        <v>2</v>
      </c>
      <c r="K405" s="66"/>
      <c r="L405" s="1"/>
    </row>
    <row r="406" spans="1:12" ht="15" customHeight="1" x14ac:dyDescent="0.25">
      <c r="A406" s="124" t="e">
        <f t="shared" si="132"/>
        <v>#REF!</v>
      </c>
      <c r="C406" s="55">
        <v>57</v>
      </c>
      <c r="D406" s="55"/>
      <c r="E406" s="55"/>
      <c r="F406" s="461"/>
      <c r="G406" s="445"/>
      <c r="H406" s="463"/>
      <c r="I406" s="163">
        <v>77</v>
      </c>
      <c r="J406" s="164">
        <v>7</v>
      </c>
      <c r="K406" s="66"/>
      <c r="L406" s="1"/>
    </row>
    <row r="407" spans="1:12" ht="15.75" x14ac:dyDescent="0.25">
      <c r="A407" s="124" t="e">
        <f t="shared" si="132"/>
        <v>#REF!</v>
      </c>
      <c r="C407" s="55">
        <v>58</v>
      </c>
      <c r="D407" s="55"/>
      <c r="E407" s="55"/>
      <c r="F407" s="461"/>
      <c r="G407" s="445"/>
      <c r="H407" s="463"/>
      <c r="I407" s="163">
        <v>78</v>
      </c>
      <c r="J407" s="164">
        <v>2</v>
      </c>
      <c r="K407" s="66"/>
      <c r="L407" s="1"/>
    </row>
    <row r="408" spans="1:12" ht="15.75" customHeight="1" x14ac:dyDescent="0.25">
      <c r="A408" s="124" t="e">
        <f t="shared" si="132"/>
        <v>#REF!</v>
      </c>
      <c r="C408" s="55">
        <v>59</v>
      </c>
      <c r="D408" s="55"/>
      <c r="E408" s="55"/>
      <c r="F408" s="461"/>
      <c r="G408" s="445"/>
      <c r="H408" s="244" t="s">
        <v>395</v>
      </c>
      <c r="I408" s="163">
        <v>86</v>
      </c>
      <c r="J408" s="164">
        <v>15</v>
      </c>
      <c r="K408" s="66"/>
      <c r="L408" s="1"/>
    </row>
    <row r="409" spans="1:12" ht="15.75" x14ac:dyDescent="0.25">
      <c r="A409" s="124" t="e">
        <f t="shared" si="132"/>
        <v>#REF!</v>
      </c>
      <c r="C409" s="55">
        <v>60</v>
      </c>
      <c r="D409" s="55"/>
      <c r="E409" s="55"/>
      <c r="F409" s="268">
        <v>204</v>
      </c>
      <c r="G409" s="250" t="s">
        <v>476</v>
      </c>
      <c r="H409" s="251"/>
      <c r="I409" s="252"/>
      <c r="J409" s="253">
        <f>SUM(J403:J408)</f>
        <v>77</v>
      </c>
      <c r="K409" s="66"/>
      <c r="L409" s="1"/>
    </row>
    <row r="410" spans="1:12" ht="15" customHeight="1" x14ac:dyDescent="0.25">
      <c r="A410" s="124" t="e">
        <f t="shared" si="132"/>
        <v>#REF!</v>
      </c>
      <c r="C410" s="55">
        <v>61</v>
      </c>
      <c r="D410" s="55"/>
      <c r="E410" s="55"/>
      <c r="F410" s="461"/>
      <c r="G410" s="445" t="s">
        <v>227</v>
      </c>
      <c r="H410" s="486" t="s">
        <v>182</v>
      </c>
      <c r="I410" s="163">
        <v>21</v>
      </c>
      <c r="J410" s="165">
        <v>550</v>
      </c>
      <c r="K410" s="66"/>
      <c r="L410" s="1"/>
    </row>
    <row r="411" spans="1:12" ht="15.75" customHeight="1" x14ac:dyDescent="0.25">
      <c r="A411" s="124" t="e">
        <f t="shared" si="132"/>
        <v>#REF!</v>
      </c>
      <c r="C411" s="55">
        <v>62</v>
      </c>
      <c r="D411" s="55"/>
      <c r="E411" s="55"/>
      <c r="F411" s="461"/>
      <c r="G411" s="445"/>
      <c r="H411" s="486"/>
      <c r="I411" s="163">
        <v>25</v>
      </c>
      <c r="J411" s="165">
        <v>10</v>
      </c>
      <c r="K411" s="66"/>
      <c r="L411" s="1"/>
    </row>
    <row r="412" spans="1:12" ht="15.75" x14ac:dyDescent="0.25">
      <c r="A412" s="124" t="e">
        <f t="shared" si="132"/>
        <v>#REF!</v>
      </c>
      <c r="C412" s="55">
        <v>63</v>
      </c>
      <c r="D412" s="55"/>
      <c r="E412" s="55"/>
      <c r="F412" s="461"/>
      <c r="G412" s="445"/>
      <c r="H412" s="486"/>
      <c r="I412" s="163">
        <v>26</v>
      </c>
      <c r="J412" s="165">
        <v>30</v>
      </c>
      <c r="K412" s="66"/>
      <c r="L412" s="1"/>
    </row>
    <row r="413" spans="1:12" ht="15.75" x14ac:dyDescent="0.25">
      <c r="A413" s="124" t="e">
        <f t="shared" si="132"/>
        <v>#REF!</v>
      </c>
      <c r="C413" s="55">
        <v>64</v>
      </c>
      <c r="D413" s="55"/>
      <c r="E413" s="55"/>
      <c r="F413" s="461"/>
      <c r="G413" s="445"/>
      <c r="H413" s="486"/>
      <c r="I413" s="163">
        <v>27</v>
      </c>
      <c r="J413" s="165">
        <v>20</v>
      </c>
      <c r="K413" s="66"/>
      <c r="L413" s="1"/>
    </row>
    <row r="414" spans="1:12" ht="15.75" x14ac:dyDescent="0.25">
      <c r="A414" s="124" t="e">
        <f t="shared" si="132"/>
        <v>#REF!</v>
      </c>
      <c r="C414" s="55">
        <v>65</v>
      </c>
      <c r="D414" s="55"/>
      <c r="E414" s="55"/>
      <c r="F414" s="268">
        <v>188</v>
      </c>
      <c r="G414" s="250" t="s">
        <v>476</v>
      </c>
      <c r="H414" s="251"/>
      <c r="I414" s="252"/>
      <c r="J414" s="253">
        <f t="shared" ref="J414" si="133">SUM(J410:J413)</f>
        <v>610</v>
      </c>
      <c r="K414" s="66"/>
      <c r="L414" s="1"/>
    </row>
    <row r="415" spans="1:12" ht="15" customHeight="1" x14ac:dyDescent="0.25">
      <c r="A415" s="124" t="e">
        <f t="shared" si="132"/>
        <v>#REF!</v>
      </c>
      <c r="C415" s="55">
        <v>66</v>
      </c>
      <c r="D415" s="55"/>
      <c r="E415" s="55"/>
      <c r="F415" s="461"/>
      <c r="G415" s="445" t="s">
        <v>380</v>
      </c>
      <c r="H415" s="244" t="s">
        <v>385</v>
      </c>
      <c r="I415" s="163">
        <v>1</v>
      </c>
      <c r="J415" s="165">
        <f>10-10</f>
        <v>0</v>
      </c>
      <c r="K415" s="66"/>
      <c r="L415" s="1"/>
    </row>
    <row r="416" spans="1:12" ht="30.75" customHeight="1" x14ac:dyDescent="0.25">
      <c r="A416" s="124" t="e">
        <f t="shared" si="132"/>
        <v>#REF!</v>
      </c>
      <c r="C416" s="55">
        <v>67</v>
      </c>
      <c r="D416" s="55"/>
      <c r="E416" s="55"/>
      <c r="F416" s="461"/>
      <c r="G416" s="445"/>
      <c r="H416" s="245" t="s">
        <v>397</v>
      </c>
      <c r="I416" s="163">
        <v>20</v>
      </c>
      <c r="J416" s="165">
        <v>5</v>
      </c>
      <c r="K416" s="66"/>
      <c r="L416" s="1"/>
    </row>
    <row r="417" spans="1:12" ht="15.75" x14ac:dyDescent="0.25">
      <c r="A417" s="124" t="e">
        <f t="shared" si="132"/>
        <v>#REF!</v>
      </c>
      <c r="C417" s="55">
        <v>68</v>
      </c>
      <c r="D417" s="55"/>
      <c r="E417" s="55"/>
      <c r="F417" s="268">
        <v>292</v>
      </c>
      <c r="G417" s="250" t="s">
        <v>476</v>
      </c>
      <c r="H417" s="251"/>
      <c r="I417" s="252"/>
      <c r="J417" s="253">
        <f t="shared" ref="J417" si="134">SUM(J415:J416)</f>
        <v>5</v>
      </c>
      <c r="K417" s="66"/>
      <c r="L417" s="1"/>
    </row>
    <row r="418" spans="1:12" ht="15" customHeight="1" x14ac:dyDescent="0.25">
      <c r="A418" s="124" t="e">
        <f t="shared" si="132"/>
        <v>#REF!</v>
      </c>
      <c r="C418" s="55">
        <v>69</v>
      </c>
      <c r="D418" s="55"/>
      <c r="E418" s="55"/>
      <c r="F418" s="488"/>
      <c r="G418" s="445" t="s">
        <v>381</v>
      </c>
      <c r="H418" s="485" t="s">
        <v>389</v>
      </c>
      <c r="I418" s="163">
        <v>31</v>
      </c>
      <c r="J418" s="165">
        <f>58+25</f>
        <v>83</v>
      </c>
      <c r="K418" s="66"/>
      <c r="L418" s="1"/>
    </row>
    <row r="419" spans="1:12" ht="15.75" customHeight="1" x14ac:dyDescent="0.25">
      <c r="A419" s="124" t="e">
        <f t="shared" si="132"/>
        <v>#REF!</v>
      </c>
      <c r="C419" s="55">
        <v>70</v>
      </c>
      <c r="D419" s="55"/>
      <c r="E419" s="55"/>
      <c r="F419" s="488"/>
      <c r="G419" s="445"/>
      <c r="H419" s="485"/>
      <c r="I419" s="163">
        <v>32</v>
      </c>
      <c r="J419" s="165">
        <v>2</v>
      </c>
      <c r="K419" s="66"/>
      <c r="L419" s="1"/>
    </row>
    <row r="420" spans="1:12" ht="15.75" x14ac:dyDescent="0.25">
      <c r="A420" s="124" t="e">
        <f t="shared" si="132"/>
        <v>#REF!</v>
      </c>
      <c r="C420" s="55">
        <v>71</v>
      </c>
      <c r="D420" s="55"/>
      <c r="E420" s="55"/>
      <c r="F420" s="488"/>
      <c r="G420" s="445"/>
      <c r="H420" s="485"/>
      <c r="I420" s="162">
        <v>34</v>
      </c>
      <c r="J420" s="165">
        <v>20</v>
      </c>
      <c r="K420" s="66"/>
      <c r="L420" s="1"/>
    </row>
    <row r="421" spans="1:12" ht="15.75" x14ac:dyDescent="0.25">
      <c r="A421" s="124" t="e">
        <f t="shared" si="132"/>
        <v>#REF!</v>
      </c>
      <c r="C421" s="55">
        <v>72</v>
      </c>
      <c r="D421" s="55"/>
      <c r="E421" s="55"/>
      <c r="F421" s="268">
        <v>355</v>
      </c>
      <c r="G421" s="250" t="s">
        <v>476</v>
      </c>
      <c r="H421" s="251"/>
      <c r="I421" s="252"/>
      <c r="J421" s="254">
        <f t="shared" ref="J421" si="135">SUM(J418:J420)</f>
        <v>105</v>
      </c>
      <c r="K421" s="66"/>
      <c r="L421" s="1"/>
    </row>
    <row r="422" spans="1:12" ht="15" customHeight="1" x14ac:dyDescent="0.25">
      <c r="A422" s="124" t="e">
        <f t="shared" si="132"/>
        <v>#REF!</v>
      </c>
      <c r="C422" s="55">
        <v>73</v>
      </c>
      <c r="D422" s="55"/>
      <c r="E422" s="55"/>
      <c r="F422" s="476"/>
      <c r="G422" s="473" t="s">
        <v>382</v>
      </c>
      <c r="H422" s="244" t="s">
        <v>388</v>
      </c>
      <c r="I422" s="163">
        <f>30</f>
        <v>30</v>
      </c>
      <c r="J422" s="165">
        <f>65+30</f>
        <v>95</v>
      </c>
      <c r="K422" s="66"/>
      <c r="L422" s="1"/>
    </row>
    <row r="423" spans="1:12" ht="15.75" customHeight="1" x14ac:dyDescent="0.25">
      <c r="A423" s="124" t="e">
        <f t="shared" si="132"/>
        <v>#REF!</v>
      </c>
      <c r="C423" s="55">
        <v>74</v>
      </c>
      <c r="D423" s="55"/>
      <c r="E423" s="55"/>
      <c r="F423" s="477"/>
      <c r="G423" s="474"/>
      <c r="H423" s="485" t="s">
        <v>393</v>
      </c>
      <c r="I423" s="163">
        <v>79</v>
      </c>
      <c r="J423" s="165">
        <f>29-5</f>
        <v>24</v>
      </c>
      <c r="K423" s="66"/>
      <c r="L423" s="1"/>
    </row>
    <row r="424" spans="1:12" ht="15.75" x14ac:dyDescent="0.25">
      <c r="A424" s="124" t="e">
        <f t="shared" si="132"/>
        <v>#REF!</v>
      </c>
      <c r="C424" s="55">
        <v>75</v>
      </c>
      <c r="D424" s="55"/>
      <c r="E424" s="55"/>
      <c r="F424" s="477"/>
      <c r="G424" s="474"/>
      <c r="H424" s="485"/>
      <c r="I424" s="163">
        <v>80</v>
      </c>
      <c r="J424" s="165">
        <f>5+5</f>
        <v>10</v>
      </c>
      <c r="K424" s="66"/>
      <c r="L424" s="1"/>
    </row>
    <row r="425" spans="1:12" ht="15.75" x14ac:dyDescent="0.25">
      <c r="A425" s="124" t="e">
        <f t="shared" si="132"/>
        <v>#REF!</v>
      </c>
      <c r="C425" s="55">
        <v>76</v>
      </c>
      <c r="D425" s="55"/>
      <c r="E425" s="55"/>
      <c r="F425" s="477"/>
      <c r="G425" s="474"/>
      <c r="H425" s="479" t="s">
        <v>394</v>
      </c>
      <c r="I425" s="163">
        <v>82</v>
      </c>
      <c r="J425" s="165">
        <f>40-12</f>
        <v>28</v>
      </c>
      <c r="K425" s="66"/>
      <c r="L425" s="1"/>
    </row>
    <row r="426" spans="1:12" ht="15.75" x14ac:dyDescent="0.25">
      <c r="C426" s="55"/>
      <c r="D426" s="55"/>
      <c r="E426" s="55"/>
      <c r="F426" s="477"/>
      <c r="G426" s="474"/>
      <c r="H426" s="480"/>
      <c r="I426" s="163">
        <v>83</v>
      </c>
      <c r="J426" s="165">
        <v>2</v>
      </c>
      <c r="K426" s="66"/>
      <c r="L426" s="1"/>
    </row>
    <row r="427" spans="1:12" ht="15.75" x14ac:dyDescent="0.25">
      <c r="C427" s="55"/>
      <c r="D427" s="55"/>
      <c r="E427" s="55"/>
      <c r="F427" s="478"/>
      <c r="G427" s="475"/>
      <c r="H427" s="481"/>
      <c r="I427" s="163">
        <v>84</v>
      </c>
      <c r="J427" s="165">
        <v>10</v>
      </c>
      <c r="K427" s="66"/>
      <c r="L427" s="1"/>
    </row>
    <row r="428" spans="1:12" ht="15" customHeight="1" x14ac:dyDescent="0.25">
      <c r="A428" s="124" t="e">
        <f>A425</f>
        <v>#REF!</v>
      </c>
      <c r="C428" s="55">
        <v>77</v>
      </c>
      <c r="D428" s="55"/>
      <c r="E428" s="55"/>
      <c r="F428" s="268">
        <v>33</v>
      </c>
      <c r="G428" s="250" t="s">
        <v>476</v>
      </c>
      <c r="H428" s="251"/>
      <c r="I428" s="252"/>
      <c r="J428" s="253">
        <f>SUM(J422:J427)</f>
        <v>169</v>
      </c>
      <c r="K428" s="66"/>
      <c r="L428" s="1"/>
    </row>
    <row r="429" spans="1:12" ht="15.75" customHeight="1" x14ac:dyDescent="0.25">
      <c r="A429" s="124" t="e">
        <f t="shared" si="132"/>
        <v>#REF!</v>
      </c>
      <c r="C429" s="55">
        <v>78</v>
      </c>
      <c r="D429" s="55"/>
      <c r="E429" s="55"/>
      <c r="F429" s="468"/>
      <c r="G429" s="469" t="s">
        <v>383</v>
      </c>
      <c r="H429" s="486" t="s">
        <v>398</v>
      </c>
      <c r="I429" s="162">
        <v>35</v>
      </c>
      <c r="J429" s="164">
        <v>5</v>
      </c>
      <c r="K429" s="66"/>
      <c r="L429" s="1"/>
    </row>
    <row r="430" spans="1:12" ht="15.75" customHeight="1" x14ac:dyDescent="0.25">
      <c r="A430" s="124" t="e">
        <f t="shared" si="132"/>
        <v>#REF!</v>
      </c>
      <c r="C430" s="55">
        <v>79</v>
      </c>
      <c r="D430" s="55"/>
      <c r="E430" s="55"/>
      <c r="F430" s="468"/>
      <c r="G430" s="469"/>
      <c r="H430" s="486"/>
      <c r="I430" s="162">
        <v>40</v>
      </c>
      <c r="J430" s="164">
        <v>80</v>
      </c>
      <c r="K430" s="66"/>
      <c r="L430" s="1"/>
    </row>
    <row r="431" spans="1:12" ht="15.75" x14ac:dyDescent="0.25">
      <c r="A431" s="124" t="e">
        <f t="shared" si="132"/>
        <v>#REF!</v>
      </c>
      <c r="C431" s="55">
        <v>80</v>
      </c>
      <c r="D431" s="55"/>
      <c r="E431" s="55"/>
      <c r="F431" s="468"/>
      <c r="G431" s="469"/>
      <c r="H431" s="486"/>
      <c r="I431" s="162">
        <v>42</v>
      </c>
      <c r="J431" s="164">
        <v>100</v>
      </c>
      <c r="K431" s="66"/>
      <c r="L431" s="1"/>
    </row>
    <row r="432" spans="1:12" ht="15.75" x14ac:dyDescent="0.25">
      <c r="A432" s="124" t="e">
        <f t="shared" si="132"/>
        <v>#REF!</v>
      </c>
      <c r="C432" s="55">
        <v>81</v>
      </c>
      <c r="D432" s="55"/>
      <c r="E432" s="55"/>
      <c r="F432" s="468"/>
      <c r="G432" s="469"/>
      <c r="H432" s="246" t="s">
        <v>396</v>
      </c>
      <c r="I432" s="162">
        <v>87</v>
      </c>
      <c r="J432" s="164">
        <v>20</v>
      </c>
      <c r="K432" s="66"/>
      <c r="L432" s="1"/>
    </row>
    <row r="433" spans="1:12" ht="15" customHeight="1" x14ac:dyDescent="0.25">
      <c r="A433" s="124" t="e">
        <f t="shared" si="132"/>
        <v>#REF!</v>
      </c>
      <c r="C433" s="55">
        <v>82</v>
      </c>
      <c r="D433" s="55"/>
      <c r="E433" s="55"/>
      <c r="F433" s="268">
        <v>133</v>
      </c>
      <c r="G433" s="250" t="s">
        <v>476</v>
      </c>
      <c r="H433" s="251"/>
      <c r="I433" s="252"/>
      <c r="J433" s="253">
        <f t="shared" ref="J433" si="136">SUM(J429:J432)</f>
        <v>205</v>
      </c>
      <c r="K433" s="66"/>
      <c r="L433" s="1"/>
    </row>
    <row r="434" spans="1:12" ht="24" customHeight="1" x14ac:dyDescent="0.25">
      <c r="A434" s="124" t="e">
        <f t="shared" si="132"/>
        <v>#REF!</v>
      </c>
      <c r="C434" s="55">
        <v>83</v>
      </c>
      <c r="D434" s="55"/>
      <c r="E434" s="55"/>
      <c r="F434" s="487"/>
      <c r="G434" s="469" t="s">
        <v>384</v>
      </c>
      <c r="H434" s="485" t="s">
        <v>398</v>
      </c>
      <c r="I434" s="162">
        <v>35</v>
      </c>
      <c r="J434" s="164">
        <v>5</v>
      </c>
      <c r="K434" s="66"/>
      <c r="L434" s="1"/>
    </row>
    <row r="435" spans="1:12" ht="15.75" customHeight="1" x14ac:dyDescent="0.25">
      <c r="A435" s="124" t="e">
        <f t="shared" si="132"/>
        <v>#REF!</v>
      </c>
      <c r="C435" s="55">
        <v>84</v>
      </c>
      <c r="D435" s="55"/>
      <c r="E435" s="55"/>
      <c r="F435" s="487"/>
      <c r="G435" s="469"/>
      <c r="H435" s="485"/>
      <c r="I435" s="162">
        <v>39</v>
      </c>
      <c r="J435" s="164">
        <f>30-20</f>
        <v>10</v>
      </c>
      <c r="K435" s="66"/>
      <c r="L435" s="1"/>
    </row>
    <row r="436" spans="1:12" ht="15.75" x14ac:dyDescent="0.25">
      <c r="C436" s="55">
        <v>85</v>
      </c>
      <c r="D436" s="55"/>
      <c r="E436" s="55"/>
      <c r="F436" s="487"/>
      <c r="G436" s="469"/>
      <c r="H436" s="485"/>
      <c r="I436" s="162">
        <v>41</v>
      </c>
      <c r="J436" s="164">
        <f>10+20+10</f>
        <v>40</v>
      </c>
      <c r="K436" s="66"/>
      <c r="L436" s="1"/>
    </row>
    <row r="437" spans="1:12" ht="15.75" x14ac:dyDescent="0.25">
      <c r="C437" s="55">
        <v>86</v>
      </c>
      <c r="D437" s="55"/>
      <c r="E437" s="55"/>
      <c r="F437" s="268">
        <v>146</v>
      </c>
      <c r="G437" s="250" t="s">
        <v>476</v>
      </c>
      <c r="H437" s="251"/>
      <c r="I437" s="252"/>
      <c r="J437" s="253">
        <f>SUM(J434:J436)</f>
        <v>55</v>
      </c>
      <c r="K437" s="66"/>
      <c r="L437" s="1"/>
    </row>
    <row r="438" spans="1:12" ht="15.75" customHeight="1" x14ac:dyDescent="0.25">
      <c r="C438" s="55">
        <v>87</v>
      </c>
      <c r="D438" s="55"/>
      <c r="E438" s="55"/>
      <c r="F438" s="482"/>
      <c r="G438" s="473" t="s">
        <v>207</v>
      </c>
      <c r="H438" s="485" t="s">
        <v>393</v>
      </c>
      <c r="I438" s="163">
        <v>79</v>
      </c>
      <c r="J438" s="166">
        <f>12+7</f>
        <v>19</v>
      </c>
      <c r="K438" s="66"/>
      <c r="L438" s="1"/>
    </row>
    <row r="439" spans="1:12" ht="15.75" customHeight="1" x14ac:dyDescent="0.25">
      <c r="C439" s="55">
        <v>88</v>
      </c>
      <c r="D439" s="55"/>
      <c r="E439" s="55"/>
      <c r="F439" s="483"/>
      <c r="G439" s="474"/>
      <c r="H439" s="485"/>
      <c r="I439" s="163">
        <v>80</v>
      </c>
      <c r="J439" s="166">
        <v>4</v>
      </c>
      <c r="K439" s="66"/>
      <c r="L439" s="1"/>
    </row>
    <row r="440" spans="1:12" ht="15.75" x14ac:dyDescent="0.25">
      <c r="C440" s="55">
        <v>89</v>
      </c>
      <c r="D440" s="55"/>
      <c r="E440" s="55"/>
      <c r="F440" s="483"/>
      <c r="G440" s="474"/>
      <c r="H440" s="479" t="s">
        <v>394</v>
      </c>
      <c r="I440" s="163">
        <v>82</v>
      </c>
      <c r="J440" s="166">
        <f>7-7</f>
        <v>0</v>
      </c>
      <c r="K440" s="66"/>
      <c r="L440" s="1"/>
    </row>
    <row r="441" spans="1:12" ht="15.75" x14ac:dyDescent="0.25">
      <c r="C441" s="55"/>
      <c r="D441" s="55"/>
      <c r="E441" s="55"/>
      <c r="F441" s="484"/>
      <c r="G441" s="475"/>
      <c r="H441" s="481"/>
      <c r="I441" s="163">
        <v>84</v>
      </c>
      <c r="J441" s="166">
        <f>7-7</f>
        <v>0</v>
      </c>
      <c r="K441" s="66"/>
      <c r="L441" s="1"/>
    </row>
    <row r="442" spans="1:12" ht="15.75" x14ac:dyDescent="0.25">
      <c r="C442" s="55">
        <v>90</v>
      </c>
      <c r="D442" s="55"/>
      <c r="E442" s="55"/>
      <c r="F442" s="268">
        <v>140</v>
      </c>
      <c r="G442" s="250" t="s">
        <v>476</v>
      </c>
      <c r="H442" s="255"/>
      <c r="I442" s="252"/>
      <c r="J442" s="253">
        <f>SUM(J438:J441)</f>
        <v>23</v>
      </c>
      <c r="K442" s="66"/>
      <c r="L442" s="1"/>
    </row>
    <row r="443" spans="1:12" x14ac:dyDescent="0.25">
      <c r="C443" s="55">
        <v>91</v>
      </c>
      <c r="D443" s="55"/>
      <c r="E443" s="55"/>
      <c r="F443" s="249"/>
      <c r="G443" s="256" t="s">
        <v>229</v>
      </c>
      <c r="H443" s="67"/>
      <c r="I443" s="68"/>
      <c r="J443" s="174">
        <f t="shared" ref="J443" si="137">J437+J433+J428+J421+J417+J414+J409+J402+J394+J389+J442</f>
        <v>5202</v>
      </c>
      <c r="K443" s="66"/>
      <c r="L443" s="1"/>
    </row>
    <row r="444" spans="1:12" x14ac:dyDescent="0.25">
      <c r="A444" s="124" t="e">
        <f>#REF!</f>
        <v>#REF!</v>
      </c>
      <c r="C444" s="55">
        <v>92</v>
      </c>
      <c r="L444" s="1"/>
    </row>
    <row r="445" spans="1:12" x14ac:dyDescent="0.25">
      <c r="C445" s="55"/>
      <c r="L445" s="1"/>
    </row>
    <row r="446" spans="1:12" ht="46.5" customHeight="1" x14ac:dyDescent="0.3">
      <c r="A446" s="124" t="e">
        <f>A444</f>
        <v>#REF!</v>
      </c>
      <c r="C446" s="55">
        <v>93</v>
      </c>
      <c r="F446" s="435" t="s">
        <v>399</v>
      </c>
      <c r="G446" s="435"/>
      <c r="H446" s="435"/>
      <c r="I446" s="435"/>
      <c r="J446" s="435"/>
      <c r="K446" s="69"/>
      <c r="L446" s="69"/>
    </row>
    <row r="447" spans="1:12" ht="19.5" customHeight="1" x14ac:dyDescent="0.25">
      <c r="A447" s="124" t="e">
        <f t="shared" si="132"/>
        <v>#REF!</v>
      </c>
      <c r="C447" s="55">
        <v>94</v>
      </c>
    </row>
    <row r="448" spans="1:12" ht="15" customHeight="1" x14ac:dyDescent="0.25">
      <c r="A448" s="124" t="e">
        <f t="shared" si="132"/>
        <v>#REF!</v>
      </c>
      <c r="C448" s="55">
        <v>95</v>
      </c>
      <c r="F448" s="436" t="s">
        <v>46</v>
      </c>
      <c r="G448" s="437" t="s">
        <v>114</v>
      </c>
      <c r="H448" s="438" t="s">
        <v>3</v>
      </c>
      <c r="I448" s="439"/>
      <c r="J448" s="440"/>
      <c r="K448" s="70"/>
      <c r="L448" s="70"/>
    </row>
    <row r="449" spans="1:12" ht="15.75" customHeight="1" x14ac:dyDescent="0.25">
      <c r="A449" s="124" t="e">
        <f t="shared" si="132"/>
        <v>#REF!</v>
      </c>
      <c r="C449" s="55">
        <v>96</v>
      </c>
      <c r="F449" s="436"/>
      <c r="G449" s="437"/>
      <c r="H449" s="257">
        <v>188</v>
      </c>
      <c r="I449" s="257">
        <v>144</v>
      </c>
      <c r="J449" s="257">
        <v>465</v>
      </c>
      <c r="K449" s="71"/>
      <c r="L449" s="71"/>
    </row>
    <row r="450" spans="1:12" ht="72.75" customHeight="1" x14ac:dyDescent="0.25">
      <c r="A450" s="124" t="e">
        <f t="shared" si="132"/>
        <v>#REF!</v>
      </c>
      <c r="C450" s="55">
        <v>97</v>
      </c>
      <c r="F450" s="436"/>
      <c r="G450" s="437"/>
      <c r="H450" s="175" t="s">
        <v>27</v>
      </c>
      <c r="I450" s="175" t="s">
        <v>24</v>
      </c>
      <c r="J450" s="175" t="s">
        <v>87</v>
      </c>
      <c r="K450" s="240"/>
      <c r="L450" s="121"/>
    </row>
    <row r="451" spans="1:12" ht="25.5" customHeight="1" x14ac:dyDescent="0.25">
      <c r="A451" s="124" t="e">
        <f t="shared" si="132"/>
        <v>#REF!</v>
      </c>
      <c r="C451" s="55">
        <v>98</v>
      </c>
      <c r="F451" s="64"/>
      <c r="G451" s="72" t="s">
        <v>115</v>
      </c>
      <c r="H451" s="88">
        <f>J277+J278</f>
        <v>8264</v>
      </c>
      <c r="I451" s="88">
        <f>J242+J243</f>
        <v>1844</v>
      </c>
      <c r="J451" s="88">
        <f>J329</f>
        <v>760</v>
      </c>
      <c r="K451" s="73"/>
      <c r="L451" s="74"/>
    </row>
    <row r="452" spans="1:12" ht="71.25" x14ac:dyDescent="0.25">
      <c r="A452" s="124" t="e">
        <f t="shared" si="132"/>
        <v>#REF!</v>
      </c>
      <c r="C452" s="55">
        <v>99</v>
      </c>
      <c r="F452" s="64"/>
      <c r="G452" s="72" t="s">
        <v>116</v>
      </c>
      <c r="H452" s="174">
        <f>SUM(H453:H475)</f>
        <v>5101</v>
      </c>
      <c r="I452" s="174">
        <f>SUM(I453:I475)</f>
        <v>224</v>
      </c>
      <c r="J452" s="174">
        <f>SUM(J453:J475)</f>
        <v>740</v>
      </c>
      <c r="K452" s="74"/>
      <c r="L452" s="74"/>
    </row>
    <row r="453" spans="1:12" ht="90" x14ac:dyDescent="0.25">
      <c r="A453" s="124" t="e">
        <f t="shared" si="132"/>
        <v>#REF!</v>
      </c>
      <c r="C453" s="55">
        <v>100</v>
      </c>
      <c r="E453" s="173"/>
      <c r="F453" s="177" t="s">
        <v>400</v>
      </c>
      <c r="G453" s="260" t="s">
        <v>401</v>
      </c>
      <c r="H453" s="242">
        <v>0</v>
      </c>
      <c r="I453" s="242">
        <v>55</v>
      </c>
      <c r="J453" s="242">
        <v>0</v>
      </c>
      <c r="K453" s="74"/>
      <c r="L453" s="74"/>
    </row>
    <row r="454" spans="1:12" ht="30" x14ac:dyDescent="0.25">
      <c r="A454" s="124" t="e">
        <f t="shared" ref="A454:A455" si="138">A453</f>
        <v>#REF!</v>
      </c>
      <c r="C454" s="55">
        <v>101</v>
      </c>
      <c r="E454" s="173"/>
      <c r="F454" s="177" t="s">
        <v>402</v>
      </c>
      <c r="G454" s="260" t="s">
        <v>403</v>
      </c>
      <c r="H454" s="242">
        <v>0</v>
      </c>
      <c r="I454" s="242">
        <v>151</v>
      </c>
      <c r="J454" s="242">
        <v>0</v>
      </c>
      <c r="K454" s="74"/>
      <c r="L454" s="74"/>
    </row>
    <row r="455" spans="1:12" ht="75" x14ac:dyDescent="0.25">
      <c r="A455" s="124" t="e">
        <f t="shared" si="138"/>
        <v>#REF!</v>
      </c>
      <c r="C455" s="55">
        <v>102</v>
      </c>
      <c r="E455" s="173"/>
      <c r="F455" s="177" t="s">
        <v>404</v>
      </c>
      <c r="G455" s="260" t="s">
        <v>405</v>
      </c>
      <c r="H455" s="242">
        <v>0</v>
      </c>
      <c r="I455" s="242">
        <v>16</v>
      </c>
      <c r="J455" s="242">
        <v>0</v>
      </c>
      <c r="K455" s="74"/>
      <c r="L455" s="74"/>
    </row>
    <row r="456" spans="1:12" ht="94.5" x14ac:dyDescent="0.25">
      <c r="F456" s="176" t="s">
        <v>406</v>
      </c>
      <c r="G456" s="261" t="s">
        <v>117</v>
      </c>
      <c r="H456" s="59">
        <v>631</v>
      </c>
      <c r="I456" s="59">
        <v>2</v>
      </c>
      <c r="J456" s="59">
        <v>50</v>
      </c>
    </row>
    <row r="457" spans="1:12" ht="94.5" x14ac:dyDescent="0.25">
      <c r="F457" s="176" t="s">
        <v>407</v>
      </c>
      <c r="G457" s="261" t="s">
        <v>118</v>
      </c>
      <c r="H457" s="59">
        <v>1391</v>
      </c>
      <c r="I457" s="242">
        <v>0</v>
      </c>
      <c r="J457" s="59">
        <v>60</v>
      </c>
    </row>
    <row r="458" spans="1:12" ht="94.5" x14ac:dyDescent="0.25">
      <c r="F458" s="176" t="s">
        <v>408</v>
      </c>
      <c r="G458" s="261" t="s">
        <v>119</v>
      </c>
      <c r="H458" s="59">
        <v>150</v>
      </c>
      <c r="I458" s="242">
        <v>0</v>
      </c>
      <c r="J458" s="59">
        <v>80</v>
      </c>
    </row>
    <row r="459" spans="1:12" ht="94.5" x14ac:dyDescent="0.25">
      <c r="F459" s="176" t="s">
        <v>409</v>
      </c>
      <c r="G459" s="261" t="s">
        <v>122</v>
      </c>
      <c r="H459" s="59">
        <v>485</v>
      </c>
      <c r="I459" s="242">
        <v>0</v>
      </c>
      <c r="J459" s="59">
        <v>80</v>
      </c>
    </row>
    <row r="460" spans="1:12" ht="94.5" x14ac:dyDescent="0.25">
      <c r="F460" s="176" t="s">
        <v>410</v>
      </c>
      <c r="G460" s="261" t="s">
        <v>123</v>
      </c>
      <c r="H460" s="59">
        <v>580</v>
      </c>
      <c r="I460" s="242">
        <v>0</v>
      </c>
      <c r="J460" s="59">
        <v>80</v>
      </c>
    </row>
    <row r="461" spans="1:12" ht="94.5" x14ac:dyDescent="0.25">
      <c r="F461" s="176" t="s">
        <v>411</v>
      </c>
      <c r="G461" s="261" t="s">
        <v>124</v>
      </c>
      <c r="H461" s="59">
        <v>538</v>
      </c>
      <c r="I461" s="242">
        <v>0</v>
      </c>
      <c r="J461" s="59">
        <v>80</v>
      </c>
    </row>
    <row r="462" spans="1:12" ht="94.5" x14ac:dyDescent="0.25">
      <c r="F462" s="176" t="s">
        <v>412</v>
      </c>
      <c r="G462" s="261" t="s">
        <v>125</v>
      </c>
      <c r="H462" s="59">
        <v>30</v>
      </c>
      <c r="I462" s="242">
        <v>0</v>
      </c>
      <c r="J462" s="59">
        <v>60</v>
      </c>
    </row>
    <row r="463" spans="1:12" ht="94.5" x14ac:dyDescent="0.25">
      <c r="F463" s="176" t="s">
        <v>413</v>
      </c>
      <c r="G463" s="261" t="s">
        <v>120</v>
      </c>
      <c r="H463" s="59">
        <v>58</v>
      </c>
      <c r="I463" s="242">
        <v>0</v>
      </c>
      <c r="J463" s="59">
        <v>50</v>
      </c>
    </row>
    <row r="464" spans="1:12" ht="94.5" x14ac:dyDescent="0.25">
      <c r="F464" s="176" t="s">
        <v>414</v>
      </c>
      <c r="G464" s="261" t="s">
        <v>126</v>
      </c>
      <c r="H464" s="59">
        <v>173</v>
      </c>
      <c r="I464" s="242">
        <v>0</v>
      </c>
      <c r="J464" s="59">
        <v>50</v>
      </c>
    </row>
    <row r="465" spans="6:10" ht="94.5" x14ac:dyDescent="0.25">
      <c r="F465" s="176" t="s">
        <v>415</v>
      </c>
      <c r="G465" s="261" t="s">
        <v>121</v>
      </c>
      <c r="H465" s="59">
        <v>45</v>
      </c>
      <c r="I465" s="242">
        <v>0</v>
      </c>
      <c r="J465" s="59">
        <v>40</v>
      </c>
    </row>
    <row r="466" spans="6:10" ht="94.5" x14ac:dyDescent="0.25">
      <c r="F466" s="176" t="s">
        <v>416</v>
      </c>
      <c r="G466" s="261" t="s">
        <v>128</v>
      </c>
      <c r="H466" s="59">
        <v>112</v>
      </c>
      <c r="I466" s="242">
        <v>0</v>
      </c>
      <c r="J466" s="59">
        <v>40</v>
      </c>
    </row>
    <row r="467" spans="6:10" ht="94.5" x14ac:dyDescent="0.25">
      <c r="F467" s="176" t="s">
        <v>417</v>
      </c>
      <c r="G467" s="261" t="s">
        <v>132</v>
      </c>
      <c r="H467" s="59">
        <v>422</v>
      </c>
      <c r="I467" s="242">
        <v>0</v>
      </c>
      <c r="J467" s="59">
        <v>20</v>
      </c>
    </row>
    <row r="468" spans="6:10" ht="94.5" x14ac:dyDescent="0.25">
      <c r="F468" s="176" t="s">
        <v>418</v>
      </c>
      <c r="G468" s="261" t="s">
        <v>127</v>
      </c>
      <c r="H468" s="59">
        <v>201</v>
      </c>
      <c r="I468" s="242">
        <v>0</v>
      </c>
      <c r="J468" s="59">
        <v>10</v>
      </c>
    </row>
    <row r="469" spans="6:10" ht="94.5" x14ac:dyDescent="0.25">
      <c r="F469" s="176" t="s">
        <v>419</v>
      </c>
      <c r="G469" s="261" t="s">
        <v>129</v>
      </c>
      <c r="H469" s="59">
        <v>30</v>
      </c>
      <c r="I469" s="242">
        <v>0</v>
      </c>
      <c r="J469" s="59">
        <v>15</v>
      </c>
    </row>
    <row r="470" spans="6:10" ht="94.5" x14ac:dyDescent="0.25">
      <c r="F470" s="176" t="s">
        <v>420</v>
      </c>
      <c r="G470" s="261" t="s">
        <v>130</v>
      </c>
      <c r="H470" s="59">
        <v>85</v>
      </c>
      <c r="I470" s="242">
        <v>0</v>
      </c>
      <c r="J470" s="59">
        <v>5</v>
      </c>
    </row>
    <row r="471" spans="6:10" ht="94.5" x14ac:dyDescent="0.25">
      <c r="F471" s="176" t="s">
        <v>421</v>
      </c>
      <c r="G471" s="261" t="s">
        <v>131</v>
      </c>
      <c r="H471" s="59">
        <v>60</v>
      </c>
      <c r="I471" s="242">
        <v>0</v>
      </c>
      <c r="J471" s="59">
        <v>5</v>
      </c>
    </row>
    <row r="472" spans="6:10" ht="94.5" x14ac:dyDescent="0.25">
      <c r="F472" s="176" t="s">
        <v>422</v>
      </c>
      <c r="G472" s="261" t="s">
        <v>133</v>
      </c>
      <c r="H472" s="59">
        <v>40</v>
      </c>
      <c r="I472" s="242">
        <v>0</v>
      </c>
      <c r="J472" s="59">
        <v>5</v>
      </c>
    </row>
    <row r="473" spans="6:10" ht="94.5" x14ac:dyDescent="0.25">
      <c r="F473" s="176" t="s">
        <v>423</v>
      </c>
      <c r="G473" s="261" t="s">
        <v>179</v>
      </c>
      <c r="H473" s="59">
        <v>50</v>
      </c>
      <c r="I473" s="242">
        <v>0</v>
      </c>
      <c r="J473" s="59">
        <v>5</v>
      </c>
    </row>
    <row r="474" spans="6:10" ht="94.5" x14ac:dyDescent="0.25">
      <c r="F474" s="176" t="s">
        <v>424</v>
      </c>
      <c r="G474" s="261" t="s">
        <v>180</v>
      </c>
      <c r="H474" s="59">
        <v>20</v>
      </c>
      <c r="I474" s="242">
        <v>0</v>
      </c>
      <c r="J474" s="59">
        <v>5</v>
      </c>
    </row>
  </sheetData>
  <autoFilter ref="A11:N444"/>
  <mergeCells count="105">
    <mergeCell ref="F438:F441"/>
    <mergeCell ref="G438:G441"/>
    <mergeCell ref="H440:H441"/>
    <mergeCell ref="H434:H436"/>
    <mergeCell ref="H438:H439"/>
    <mergeCell ref="H410:H413"/>
    <mergeCell ref="H403:H407"/>
    <mergeCell ref="H418:H420"/>
    <mergeCell ref="H423:H424"/>
    <mergeCell ref="H429:H431"/>
    <mergeCell ref="F434:F436"/>
    <mergeCell ref="G434:G436"/>
    <mergeCell ref="F418:F420"/>
    <mergeCell ref="F403:F408"/>
    <mergeCell ref="G403:G408"/>
    <mergeCell ref="F410:F413"/>
    <mergeCell ref="F415:F416"/>
    <mergeCell ref="F429:F432"/>
    <mergeCell ref="G429:G432"/>
    <mergeCell ref="H395:H401"/>
    <mergeCell ref="G395:G401"/>
    <mergeCell ref="F395:F401"/>
    <mergeCell ref="F422:F427"/>
    <mergeCell ref="G422:G427"/>
    <mergeCell ref="H425:H427"/>
    <mergeCell ref="G328:H328"/>
    <mergeCell ref="G334:H334"/>
    <mergeCell ref="F344:F388"/>
    <mergeCell ref="G344:G388"/>
    <mergeCell ref="G390:G393"/>
    <mergeCell ref="H346:H347"/>
    <mergeCell ref="H348:H352"/>
    <mergeCell ref="H357:H360"/>
    <mergeCell ref="H361:H374"/>
    <mergeCell ref="H375:H376"/>
    <mergeCell ref="H377:H382"/>
    <mergeCell ref="H385:H386"/>
    <mergeCell ref="H390:H393"/>
    <mergeCell ref="G337:H337"/>
    <mergeCell ref="G338:H338"/>
    <mergeCell ref="G331:H331"/>
    <mergeCell ref="H383:H384"/>
    <mergeCell ref="H344:H345"/>
    <mergeCell ref="H353:H355"/>
    <mergeCell ref="F341:J341"/>
    <mergeCell ref="F390:F393"/>
    <mergeCell ref="F7:N7"/>
    <mergeCell ref="G40:H40"/>
    <mergeCell ref="G44:H44"/>
    <mergeCell ref="G52:H52"/>
    <mergeCell ref="G56:H56"/>
    <mergeCell ref="I10:I11"/>
    <mergeCell ref="J10:K10"/>
    <mergeCell ref="L10:L11"/>
    <mergeCell ref="I9:K9"/>
    <mergeCell ref="G12:H12"/>
    <mergeCell ref="G20:H20"/>
    <mergeCell ref="G35:H35"/>
    <mergeCell ref="L9:N9"/>
    <mergeCell ref="M10:N10"/>
    <mergeCell ref="G322:H322"/>
    <mergeCell ref="B9:B11"/>
    <mergeCell ref="C9:C10"/>
    <mergeCell ref="F9:F11"/>
    <mergeCell ref="G9:G11"/>
    <mergeCell ref="H9:H11"/>
    <mergeCell ref="G67:H67"/>
    <mergeCell ref="G77:H77"/>
    <mergeCell ref="G102:H102"/>
    <mergeCell ref="G112:H112"/>
    <mergeCell ref="G94:H94"/>
    <mergeCell ref="G298:H298"/>
    <mergeCell ref="G198:H198"/>
    <mergeCell ref="G179:H179"/>
    <mergeCell ref="G156:H156"/>
    <mergeCell ref="G159:H159"/>
    <mergeCell ref="G168:H168"/>
    <mergeCell ref="G172:H172"/>
    <mergeCell ref="G188:H188"/>
    <mergeCell ref="G134:H134"/>
    <mergeCell ref="G144:H144"/>
    <mergeCell ref="G303:H303"/>
    <mergeCell ref="F446:J446"/>
    <mergeCell ref="F448:F450"/>
    <mergeCell ref="G448:G450"/>
    <mergeCell ref="H448:J448"/>
    <mergeCell ref="G80:H80"/>
    <mergeCell ref="G90:H90"/>
    <mergeCell ref="G339:H339"/>
    <mergeCell ref="G340:H340"/>
    <mergeCell ref="G410:G413"/>
    <mergeCell ref="G415:G416"/>
    <mergeCell ref="G418:G420"/>
    <mergeCell ref="G121:H121"/>
    <mergeCell ref="G207:H207"/>
    <mergeCell ref="G213:H213"/>
    <mergeCell ref="G219:H219"/>
    <mergeCell ref="G239:H239"/>
    <mergeCell ref="G232:H232"/>
    <mergeCell ref="G267:H267"/>
    <mergeCell ref="G270:H270"/>
    <mergeCell ref="G276:H276"/>
    <mergeCell ref="G290:H290"/>
    <mergeCell ref="G307:H307"/>
    <mergeCell ref="G312:H312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7"/>
  <sheetViews>
    <sheetView zoomScale="90" zoomScaleNormal="90" workbookViewId="0">
      <pane xSplit="7" ySplit="9" topLeftCell="H10" activePane="bottomRight" state="frozen"/>
      <selection activeCell="K10" sqref="K10"/>
      <selection pane="topRight" activeCell="K10" sqref="K10"/>
      <selection pane="bottomLeft" activeCell="K10" sqref="K10"/>
      <selection pane="bottomRight" activeCell="M16" sqref="M16"/>
    </sheetView>
  </sheetViews>
  <sheetFormatPr defaultColWidth="7.7109375" defaultRowHeight="15.75" x14ac:dyDescent="0.25"/>
  <cols>
    <col min="1" max="1" width="7" style="42" hidden="1" customWidth="1"/>
    <col min="2" max="2" width="9.7109375" style="43" hidden="1" customWidth="1"/>
    <col min="3" max="3" width="12.7109375" style="43" hidden="1" customWidth="1"/>
    <col min="4" max="4" width="10.140625" style="42" hidden="1" customWidth="1"/>
    <col min="5" max="5" width="10.42578125" style="42" hidden="1" customWidth="1"/>
    <col min="6" max="6" width="10" style="42" customWidth="1"/>
    <col min="7" max="7" width="33.5703125" style="42" customWidth="1"/>
    <col min="8" max="8" width="69.28515625" style="44" customWidth="1"/>
    <col min="9" max="9" width="19.7109375" style="25" customWidth="1"/>
    <col min="10" max="10" width="19.85546875" style="39" customWidth="1"/>
    <col min="11" max="11" width="13.140625" style="26" customWidth="1"/>
    <col min="12" max="12" width="19.5703125" style="26" customWidth="1"/>
    <col min="13" max="13" width="17.5703125" style="26" customWidth="1"/>
    <col min="14" max="14" width="14.85546875" style="26" customWidth="1"/>
    <col min="15" max="15" width="16.140625" style="39" customWidth="1"/>
    <col min="16" max="16" width="10.140625" style="26" customWidth="1"/>
    <col min="17" max="16384" width="7.7109375" style="26"/>
  </cols>
  <sheetData>
    <row r="1" spans="1:15" x14ac:dyDescent="0.25">
      <c r="A1" s="21">
        <v>0</v>
      </c>
      <c r="B1" s="22"/>
      <c r="C1" s="22"/>
      <c r="D1" s="23"/>
      <c r="E1" s="23"/>
      <c r="F1" s="23"/>
      <c r="G1" s="23"/>
      <c r="H1" s="24"/>
      <c r="J1" s="120" t="s">
        <v>425</v>
      </c>
      <c r="O1" s="26"/>
    </row>
    <row r="2" spans="1:15" x14ac:dyDescent="0.25">
      <c r="A2" s="21">
        <v>0</v>
      </c>
      <c r="B2" s="22"/>
      <c r="C2" s="22"/>
      <c r="D2" s="23"/>
      <c r="E2" s="23"/>
      <c r="F2" s="23"/>
      <c r="G2" s="23"/>
      <c r="H2" s="24"/>
      <c r="J2" s="120" t="s">
        <v>489</v>
      </c>
      <c r="O2" s="26"/>
    </row>
    <row r="3" spans="1:15" x14ac:dyDescent="0.25">
      <c r="A3" s="21">
        <v>0</v>
      </c>
      <c r="B3" s="22"/>
      <c r="C3" s="22"/>
      <c r="D3" s="23"/>
      <c r="E3" s="23"/>
      <c r="F3" s="23"/>
      <c r="G3" s="23"/>
      <c r="H3" s="24"/>
      <c r="J3" s="120" t="s">
        <v>0</v>
      </c>
      <c r="O3" s="26"/>
    </row>
    <row r="4" spans="1:15" x14ac:dyDescent="0.25">
      <c r="A4" s="21">
        <v>0</v>
      </c>
      <c r="B4" s="22"/>
      <c r="C4" s="22"/>
      <c r="D4" s="23"/>
      <c r="E4" s="23"/>
      <c r="F4" s="23"/>
      <c r="G4" s="23"/>
      <c r="H4" s="24"/>
      <c r="J4" s="120" t="s">
        <v>1</v>
      </c>
      <c r="O4" s="26"/>
    </row>
    <row r="5" spans="1:15" x14ac:dyDescent="0.25">
      <c r="A5" s="21">
        <v>0</v>
      </c>
      <c r="B5" s="22"/>
      <c r="C5" s="22"/>
      <c r="D5" s="23"/>
      <c r="E5" s="23"/>
      <c r="F5" s="23"/>
      <c r="G5" s="23"/>
      <c r="H5" s="24"/>
      <c r="J5" s="120" t="s">
        <v>492</v>
      </c>
      <c r="O5" s="26"/>
    </row>
    <row r="6" spans="1:15" x14ac:dyDescent="0.25">
      <c r="A6" s="21"/>
      <c r="B6" s="22"/>
      <c r="C6" s="22"/>
      <c r="D6" s="22"/>
      <c r="E6" s="22"/>
      <c r="F6" s="23"/>
      <c r="G6" s="23"/>
      <c r="H6" s="28"/>
      <c r="I6" s="29"/>
      <c r="J6" s="30"/>
      <c r="O6" s="26"/>
    </row>
    <row r="7" spans="1:15" ht="80.25" customHeight="1" x14ac:dyDescent="0.25">
      <c r="A7" s="21">
        <v>0</v>
      </c>
      <c r="B7" s="22"/>
      <c r="C7" s="22"/>
      <c r="D7" s="23"/>
      <c r="E7" s="23"/>
      <c r="F7" s="494" t="s">
        <v>431</v>
      </c>
      <c r="G7" s="494"/>
      <c r="H7" s="494"/>
      <c r="I7" s="494"/>
      <c r="J7" s="494"/>
      <c r="O7" s="26"/>
    </row>
    <row r="8" spans="1:15" ht="5.25" customHeight="1" x14ac:dyDescent="0.25">
      <c r="A8" s="21"/>
      <c r="B8" s="22"/>
      <c r="C8" s="22"/>
      <c r="D8" s="23"/>
      <c r="E8" s="23"/>
      <c r="F8" s="116"/>
      <c r="G8" s="116"/>
      <c r="H8" s="107"/>
      <c r="I8" s="108"/>
      <c r="J8" s="109"/>
      <c r="O8" s="26"/>
    </row>
    <row r="9" spans="1:15" s="32" customFormat="1" ht="47.25" x14ac:dyDescent="0.25">
      <c r="A9" s="26">
        <v>0</v>
      </c>
      <c r="B9" s="31" t="s">
        <v>136</v>
      </c>
      <c r="C9" s="31" t="s">
        <v>137</v>
      </c>
      <c r="D9" s="199" t="s">
        <v>138</v>
      </c>
      <c r="E9" s="200"/>
      <c r="F9" s="415" t="s">
        <v>2</v>
      </c>
      <c r="G9" s="415"/>
      <c r="H9" s="113" t="s">
        <v>139</v>
      </c>
      <c r="I9" s="114" t="s">
        <v>473</v>
      </c>
      <c r="J9" s="115" t="s">
        <v>95</v>
      </c>
    </row>
    <row r="10" spans="1:15" s="32" customFormat="1" x14ac:dyDescent="0.25">
      <c r="A10" s="26">
        <v>0</v>
      </c>
      <c r="B10" s="33"/>
      <c r="C10" s="33"/>
      <c r="D10" s="86">
        <f>F10</f>
        <v>204</v>
      </c>
      <c r="E10" s="86"/>
      <c r="F10" s="184">
        <v>204</v>
      </c>
      <c r="G10" s="189" t="s">
        <v>101</v>
      </c>
      <c r="H10" s="197"/>
      <c r="I10" s="237">
        <f>I11</f>
        <v>60</v>
      </c>
      <c r="J10" s="237">
        <f>J11</f>
        <v>2596.1</v>
      </c>
    </row>
    <row r="11" spans="1:15" s="32" customFormat="1" x14ac:dyDescent="0.25">
      <c r="A11" s="26">
        <v>0</v>
      </c>
      <c r="D11" s="85">
        <f>D10</f>
        <v>204</v>
      </c>
      <c r="E11" s="85"/>
      <c r="F11" s="185"/>
      <c r="G11" s="190"/>
      <c r="H11" s="191" t="s">
        <v>5</v>
      </c>
      <c r="I11" s="214">
        <v>60</v>
      </c>
      <c r="J11" s="206">
        <v>2596.1</v>
      </c>
    </row>
    <row r="12" spans="1:15" s="32" customFormat="1" x14ac:dyDescent="0.25">
      <c r="A12" s="26">
        <v>0</v>
      </c>
      <c r="B12" s="33"/>
      <c r="C12" s="33"/>
      <c r="D12" s="86">
        <f>F12</f>
        <v>399</v>
      </c>
      <c r="E12" s="86"/>
      <c r="F12" s="187">
        <v>399</v>
      </c>
      <c r="G12" s="189" t="s">
        <v>140</v>
      </c>
      <c r="H12" s="198"/>
      <c r="I12" s="237">
        <f>I13+I15+I14</f>
        <v>266</v>
      </c>
      <c r="J12" s="237">
        <f>J13+J15+J14</f>
        <v>11504.1</v>
      </c>
    </row>
    <row r="13" spans="1:15" s="32" customFormat="1" ht="31.5" x14ac:dyDescent="0.25">
      <c r="A13" s="26">
        <v>0</v>
      </c>
      <c r="D13" s="85" t="e">
        <f>#REF!</f>
        <v>#REF!</v>
      </c>
      <c r="E13" s="85"/>
      <c r="F13" s="186"/>
      <c r="G13" s="192"/>
      <c r="H13" s="263" t="s">
        <v>141</v>
      </c>
      <c r="I13" s="214">
        <v>202</v>
      </c>
      <c r="J13" s="206">
        <f>8808.4+69.6</f>
        <v>8878</v>
      </c>
    </row>
    <row r="14" spans="1:15" s="32" customFormat="1" ht="31.5" x14ac:dyDescent="0.25">
      <c r="A14" s="26"/>
      <c r="D14" s="85"/>
      <c r="E14" s="85"/>
      <c r="F14" s="186"/>
      <c r="G14" s="192"/>
      <c r="H14" s="263" t="s">
        <v>497</v>
      </c>
      <c r="I14" s="214">
        <v>10</v>
      </c>
      <c r="J14" s="206">
        <v>133.1</v>
      </c>
    </row>
    <row r="15" spans="1:15" s="32" customFormat="1" ht="18.75" customHeight="1" x14ac:dyDescent="0.25">
      <c r="A15" s="26">
        <v>0</v>
      </c>
      <c r="D15" s="85" t="e">
        <f>#REF!</f>
        <v>#REF!</v>
      </c>
      <c r="E15" s="85"/>
      <c r="F15" s="186"/>
      <c r="G15" s="192"/>
      <c r="H15" s="191" t="s">
        <v>13</v>
      </c>
      <c r="I15" s="214">
        <v>54</v>
      </c>
      <c r="J15" s="206">
        <f>2562.6-69.6</f>
        <v>2493</v>
      </c>
    </row>
    <row r="16" spans="1:15" s="32" customFormat="1" x14ac:dyDescent="0.25">
      <c r="A16" s="26">
        <v>0</v>
      </c>
      <c r="D16" s="86">
        <f>F16</f>
        <v>61</v>
      </c>
      <c r="E16" s="85"/>
      <c r="F16" s="187">
        <v>61</v>
      </c>
      <c r="G16" s="189" t="s">
        <v>111</v>
      </c>
      <c r="H16" s="198"/>
      <c r="I16" s="238">
        <f t="shared" ref="I16" si="0">ROUND(I17+I18+I19+I20+I21,0)</f>
        <v>282</v>
      </c>
      <c r="J16" s="237">
        <f>ROUND(J17+J18+J19+J20+J21,1)</f>
        <v>9248.4</v>
      </c>
    </row>
    <row r="17" spans="1:10" s="32" customFormat="1" ht="47.25" x14ac:dyDescent="0.25">
      <c r="A17" s="26">
        <v>0</v>
      </c>
      <c r="D17" s="85">
        <f t="shared" ref="D17:D20" si="1">D16</f>
        <v>61</v>
      </c>
      <c r="E17" s="85"/>
      <c r="F17" s="186"/>
      <c r="G17" s="192"/>
      <c r="H17" s="191" t="s">
        <v>142</v>
      </c>
      <c r="I17" s="214">
        <v>5</v>
      </c>
      <c r="J17" s="206">
        <v>103.7</v>
      </c>
    </row>
    <row r="18" spans="1:10" s="32" customFormat="1" ht="31.5" x14ac:dyDescent="0.25">
      <c r="A18" s="26">
        <v>0</v>
      </c>
      <c r="D18" s="85">
        <f t="shared" si="1"/>
        <v>61</v>
      </c>
      <c r="E18" s="85"/>
      <c r="F18" s="186"/>
      <c r="G18" s="192"/>
      <c r="H18" s="191" t="s">
        <v>143</v>
      </c>
      <c r="I18" s="214">
        <v>35</v>
      </c>
      <c r="J18" s="206">
        <v>373.4</v>
      </c>
    </row>
    <row r="19" spans="1:10" s="32" customFormat="1" x14ac:dyDescent="0.25">
      <c r="A19" s="26">
        <v>0</v>
      </c>
      <c r="D19" s="85">
        <f t="shared" si="1"/>
        <v>61</v>
      </c>
      <c r="E19" s="85"/>
      <c r="F19" s="186"/>
      <c r="G19" s="192"/>
      <c r="H19" s="191" t="s">
        <v>7</v>
      </c>
      <c r="I19" s="214">
        <v>14</v>
      </c>
      <c r="J19" s="206">
        <v>313.7</v>
      </c>
    </row>
    <row r="20" spans="1:10" s="32" customFormat="1" x14ac:dyDescent="0.25">
      <c r="A20" s="26">
        <v>0</v>
      </c>
      <c r="D20" s="85">
        <f t="shared" si="1"/>
        <v>61</v>
      </c>
      <c r="E20" s="85"/>
      <c r="F20" s="186"/>
      <c r="G20" s="192"/>
      <c r="H20" s="191" t="s">
        <v>8</v>
      </c>
      <c r="I20" s="214">
        <f>228-59</f>
        <v>169</v>
      </c>
      <c r="J20" s="206">
        <v>6379.7</v>
      </c>
    </row>
    <row r="21" spans="1:10" s="32" customFormat="1" x14ac:dyDescent="0.25">
      <c r="A21" s="26">
        <v>0</v>
      </c>
      <c r="B21" s="33">
        <f>D21</f>
        <v>29</v>
      </c>
      <c r="C21" s="33"/>
      <c r="D21" s="86">
        <v>29</v>
      </c>
      <c r="E21" s="86"/>
      <c r="F21" s="186"/>
      <c r="G21" s="192"/>
      <c r="H21" s="191" t="s">
        <v>4</v>
      </c>
      <c r="I21" s="214">
        <v>59</v>
      </c>
      <c r="J21" s="206">
        <v>2077.9</v>
      </c>
    </row>
    <row r="22" spans="1:10" s="32" customFormat="1" x14ac:dyDescent="0.25">
      <c r="A22" s="26">
        <v>0</v>
      </c>
      <c r="D22" s="86">
        <f>F22</f>
        <v>29</v>
      </c>
      <c r="E22" s="85"/>
      <c r="F22" s="187">
        <v>29</v>
      </c>
      <c r="G22" s="189" t="s">
        <v>144</v>
      </c>
      <c r="H22" s="198"/>
      <c r="I22" s="238">
        <f t="shared" ref="I22" si="2">ROUND(I23,0)</f>
        <v>1400</v>
      </c>
      <c r="J22" s="237">
        <f>ROUND(J23,1)</f>
        <v>43109.8</v>
      </c>
    </row>
    <row r="23" spans="1:10" s="32" customFormat="1" x14ac:dyDescent="0.25">
      <c r="A23" s="26">
        <v>0</v>
      </c>
      <c r="B23" s="33">
        <f>D23</f>
        <v>33</v>
      </c>
      <c r="C23" s="33"/>
      <c r="D23" s="86">
        <v>33</v>
      </c>
      <c r="E23" s="86"/>
      <c r="F23" s="186"/>
      <c r="G23" s="192"/>
      <c r="H23" s="191" t="s">
        <v>9</v>
      </c>
      <c r="I23" s="214">
        <v>1400</v>
      </c>
      <c r="J23" s="206">
        <v>43109.799999999996</v>
      </c>
    </row>
    <row r="24" spans="1:10" s="32" customFormat="1" x14ac:dyDescent="0.25">
      <c r="A24" s="26">
        <v>0</v>
      </c>
      <c r="D24" s="86">
        <f>F24</f>
        <v>33</v>
      </c>
      <c r="E24" s="85"/>
      <c r="F24" s="187">
        <v>33</v>
      </c>
      <c r="G24" s="189" t="s">
        <v>145</v>
      </c>
      <c r="H24" s="198"/>
      <c r="I24" s="238">
        <f t="shared" ref="I24" si="3">ROUND(I25+I26,0)</f>
        <v>2148</v>
      </c>
      <c r="J24" s="237">
        <f>ROUND(J25+J26,1)</f>
        <v>43110.1</v>
      </c>
    </row>
    <row r="25" spans="1:10" s="32" customFormat="1" x14ac:dyDescent="0.25">
      <c r="A25" s="26">
        <v>0</v>
      </c>
      <c r="D25" s="85">
        <f t="shared" ref="D25" si="4">D24</f>
        <v>33</v>
      </c>
      <c r="E25" s="85"/>
      <c r="F25" s="186"/>
      <c r="G25" s="192"/>
      <c r="H25" s="191" t="s">
        <v>8</v>
      </c>
      <c r="I25" s="214">
        <v>1794</v>
      </c>
      <c r="J25" s="206">
        <v>36248.400000000001</v>
      </c>
    </row>
    <row r="26" spans="1:10" s="32" customFormat="1" x14ac:dyDescent="0.25">
      <c r="A26" s="26">
        <v>0</v>
      </c>
      <c r="B26" s="33">
        <f>D26</f>
        <v>133</v>
      </c>
      <c r="C26" s="33"/>
      <c r="D26" s="86">
        <v>133</v>
      </c>
      <c r="E26" s="86"/>
      <c r="F26" s="186"/>
      <c r="G26" s="192"/>
      <c r="H26" s="191" t="s">
        <v>4</v>
      </c>
      <c r="I26" s="214">
        <v>354</v>
      </c>
      <c r="J26" s="206">
        <v>6861.7</v>
      </c>
    </row>
    <row r="27" spans="1:10" s="32" customFormat="1" x14ac:dyDescent="0.25">
      <c r="A27" s="26">
        <v>0</v>
      </c>
      <c r="D27" s="86">
        <f>F27</f>
        <v>133</v>
      </c>
      <c r="E27" s="85"/>
      <c r="F27" s="187">
        <v>133</v>
      </c>
      <c r="G27" s="189" t="s">
        <v>146</v>
      </c>
      <c r="H27" s="198"/>
      <c r="I27" s="238">
        <f t="shared" ref="I27" si="5">ROUND(I28,0)</f>
        <v>413</v>
      </c>
      <c r="J27" s="237">
        <f>ROUND(J28,1)</f>
        <v>11505.6</v>
      </c>
    </row>
    <row r="28" spans="1:10" s="32" customFormat="1" x14ac:dyDescent="0.25">
      <c r="A28" s="26">
        <v>0</v>
      </c>
      <c r="B28" s="33">
        <f>D28</f>
        <v>135</v>
      </c>
      <c r="C28" s="33"/>
      <c r="D28" s="86">
        <v>135</v>
      </c>
      <c r="E28" s="86"/>
      <c r="F28" s="186"/>
      <c r="G28" s="192"/>
      <c r="H28" s="191" t="s">
        <v>7</v>
      </c>
      <c r="I28" s="214">
        <f>635-31-50-141</f>
        <v>413</v>
      </c>
      <c r="J28" s="206">
        <f>23779.6-1000-5638.9-228.8-5406.3</f>
        <v>11505.599999999999</v>
      </c>
    </row>
    <row r="29" spans="1:10" s="32" customFormat="1" x14ac:dyDescent="0.25">
      <c r="A29" s="26">
        <v>0</v>
      </c>
      <c r="D29" s="86">
        <f>F29</f>
        <v>135</v>
      </c>
      <c r="E29" s="85"/>
      <c r="F29" s="187">
        <v>135</v>
      </c>
      <c r="G29" s="189" t="s">
        <v>112</v>
      </c>
      <c r="H29" s="198"/>
      <c r="I29" s="238">
        <f t="shared" ref="I29" si="6">ROUND(I30,0)</f>
        <v>771</v>
      </c>
      <c r="J29" s="237">
        <f>ROUND(J30,1)</f>
        <v>17675.7</v>
      </c>
    </row>
    <row r="30" spans="1:10" s="32" customFormat="1" x14ac:dyDescent="0.25">
      <c r="A30" s="26">
        <v>0</v>
      </c>
      <c r="B30" s="33">
        <f>D30</f>
        <v>71</v>
      </c>
      <c r="C30" s="33"/>
      <c r="D30" s="86">
        <v>71</v>
      </c>
      <c r="E30" s="86"/>
      <c r="F30" s="186"/>
      <c r="G30" s="192"/>
      <c r="H30" s="191" t="s">
        <v>7</v>
      </c>
      <c r="I30" s="214">
        <f>1100-134-6-189</f>
        <v>771</v>
      </c>
      <c r="J30" s="206">
        <f>24508.1-3039.1-123.3-3670</f>
        <v>17675.7</v>
      </c>
    </row>
    <row r="31" spans="1:10" s="32" customFormat="1" x14ac:dyDescent="0.25">
      <c r="A31" s="26">
        <v>0</v>
      </c>
      <c r="D31" s="86">
        <f>F31</f>
        <v>71</v>
      </c>
      <c r="E31" s="85"/>
      <c r="F31" s="187">
        <v>71</v>
      </c>
      <c r="G31" s="189" t="s">
        <v>97</v>
      </c>
      <c r="H31" s="198"/>
      <c r="I31" s="237">
        <f>SUM(I32:I39)</f>
        <v>907</v>
      </c>
      <c r="J31" s="237">
        <f>SUM(J32:J39)</f>
        <v>20787.2</v>
      </c>
    </row>
    <row r="32" spans="1:10" s="32" customFormat="1" x14ac:dyDescent="0.25">
      <c r="A32" s="26">
        <v>0</v>
      </c>
      <c r="B32" s="35"/>
      <c r="C32" s="35"/>
      <c r="D32" s="85">
        <f>D31</f>
        <v>71</v>
      </c>
      <c r="E32" s="85"/>
      <c r="F32" s="186"/>
      <c r="G32" s="192"/>
      <c r="H32" s="191" t="s">
        <v>147</v>
      </c>
      <c r="I32" s="214">
        <v>77</v>
      </c>
      <c r="J32" s="206">
        <v>1534.9</v>
      </c>
    </row>
    <row r="33" spans="1:10" s="32" customFormat="1" x14ac:dyDescent="0.25">
      <c r="A33" s="26">
        <v>0</v>
      </c>
      <c r="B33" s="35"/>
      <c r="C33" s="35"/>
      <c r="D33" s="85">
        <f t="shared" ref="D33" si="7">D32</f>
        <v>71</v>
      </c>
      <c r="E33" s="85"/>
      <c r="F33" s="186"/>
      <c r="G33" s="192"/>
      <c r="H33" s="191" t="s">
        <v>426</v>
      </c>
      <c r="I33" s="214">
        <v>60</v>
      </c>
      <c r="J33" s="206">
        <f>4932.2-327.4</f>
        <v>4604.8</v>
      </c>
    </row>
    <row r="34" spans="1:10" s="32" customFormat="1" ht="47.25" x14ac:dyDescent="0.25">
      <c r="A34" s="26">
        <v>0</v>
      </c>
      <c r="D34" s="85" t="e">
        <f>#REF!</f>
        <v>#REF!</v>
      </c>
      <c r="E34" s="85"/>
      <c r="F34" s="186"/>
      <c r="G34" s="192"/>
      <c r="H34" s="191" t="s">
        <v>142</v>
      </c>
      <c r="I34" s="214">
        <v>4</v>
      </c>
      <c r="J34" s="206">
        <v>60.1</v>
      </c>
    </row>
    <row r="35" spans="1:10" s="32" customFormat="1" ht="31.5" x14ac:dyDescent="0.25">
      <c r="A35" s="26">
        <v>0</v>
      </c>
      <c r="B35" s="33">
        <f>D35</f>
        <v>103</v>
      </c>
      <c r="C35" s="33"/>
      <c r="D35" s="86">
        <v>103</v>
      </c>
      <c r="E35" s="86"/>
      <c r="F35" s="186"/>
      <c r="G35" s="192"/>
      <c r="H35" s="191" t="s">
        <v>143</v>
      </c>
      <c r="I35" s="214">
        <v>44</v>
      </c>
      <c r="J35" s="206">
        <v>302.60000000000002</v>
      </c>
    </row>
    <row r="36" spans="1:10" s="32" customFormat="1" x14ac:dyDescent="0.25">
      <c r="A36" s="26">
        <v>0</v>
      </c>
      <c r="D36" s="85">
        <f t="shared" ref="D36:D42" si="8">D35</f>
        <v>103</v>
      </c>
      <c r="E36" s="85"/>
      <c r="F36" s="186"/>
      <c r="G36" s="192"/>
      <c r="H36" s="191" t="s">
        <v>8</v>
      </c>
      <c r="I36" s="214">
        <f>664-200</f>
        <v>464</v>
      </c>
      <c r="J36" s="206">
        <f>12982+327.4-4000</f>
        <v>9309.4</v>
      </c>
    </row>
    <row r="37" spans="1:10" s="32" customFormat="1" x14ac:dyDescent="0.25">
      <c r="A37" s="26"/>
      <c r="D37" s="85">
        <v>103</v>
      </c>
      <c r="E37" s="85"/>
      <c r="F37" s="186"/>
      <c r="G37" s="192"/>
      <c r="H37" s="191" t="s">
        <v>9</v>
      </c>
      <c r="I37" s="214">
        <v>200</v>
      </c>
      <c r="J37" s="206">
        <v>4000</v>
      </c>
    </row>
    <row r="38" spans="1:10" s="32" customFormat="1" x14ac:dyDescent="0.25">
      <c r="A38" s="26">
        <v>0</v>
      </c>
      <c r="D38" s="85">
        <f>D36</f>
        <v>103</v>
      </c>
      <c r="E38" s="85"/>
      <c r="F38" s="186"/>
      <c r="G38" s="192"/>
      <c r="H38" s="191" t="s">
        <v>7</v>
      </c>
      <c r="I38" s="214">
        <v>49</v>
      </c>
      <c r="J38" s="206">
        <v>824.8</v>
      </c>
    </row>
    <row r="39" spans="1:10" s="32" customFormat="1" x14ac:dyDescent="0.25">
      <c r="A39" s="26">
        <v>0</v>
      </c>
      <c r="D39" s="85">
        <f t="shared" si="8"/>
        <v>103</v>
      </c>
      <c r="E39" s="85"/>
      <c r="F39" s="186"/>
      <c r="G39" s="192"/>
      <c r="H39" s="191" t="s">
        <v>4</v>
      </c>
      <c r="I39" s="214">
        <v>9</v>
      </c>
      <c r="J39" s="206">
        <v>150.6</v>
      </c>
    </row>
    <row r="40" spans="1:10" s="32" customFormat="1" x14ac:dyDescent="0.25">
      <c r="A40" s="26">
        <v>0</v>
      </c>
      <c r="D40" s="86">
        <f>F40</f>
        <v>103</v>
      </c>
      <c r="E40" s="85"/>
      <c r="F40" s="187">
        <v>103</v>
      </c>
      <c r="G40" s="189" t="s">
        <v>98</v>
      </c>
      <c r="H40" s="198"/>
      <c r="I40" s="238">
        <f t="shared" ref="I40" si="9">ROUND(I41+I42+I43+I44+I45+I46,0)</f>
        <v>2275</v>
      </c>
      <c r="J40" s="237">
        <f>ROUND(J41+J42+J43+J44+J45+J46,1)</f>
        <v>56963.3</v>
      </c>
    </row>
    <row r="41" spans="1:10" s="32" customFormat="1" x14ac:dyDescent="0.25">
      <c r="A41" s="26">
        <v>0</v>
      </c>
      <c r="D41" s="85">
        <f t="shared" si="8"/>
        <v>103</v>
      </c>
      <c r="E41" s="85"/>
      <c r="F41" s="186"/>
      <c r="G41" s="192"/>
      <c r="H41" s="191" t="s">
        <v>37</v>
      </c>
      <c r="I41" s="214">
        <v>120</v>
      </c>
      <c r="J41" s="206">
        <v>1425.7</v>
      </c>
    </row>
    <row r="42" spans="1:10" s="32" customFormat="1" x14ac:dyDescent="0.25">
      <c r="A42" s="26">
        <v>0</v>
      </c>
      <c r="D42" s="85">
        <f t="shared" si="8"/>
        <v>103</v>
      </c>
      <c r="E42" s="85"/>
      <c r="F42" s="186"/>
      <c r="G42" s="192"/>
      <c r="H42" s="191" t="s">
        <v>10</v>
      </c>
      <c r="I42" s="214">
        <v>125</v>
      </c>
      <c r="J42" s="206">
        <f>2698.6-82.6</f>
        <v>2616</v>
      </c>
    </row>
    <row r="43" spans="1:10" s="32" customFormat="1" x14ac:dyDescent="0.25">
      <c r="A43" s="26">
        <v>0</v>
      </c>
      <c r="B43" s="33">
        <f>D43</f>
        <v>73</v>
      </c>
      <c r="C43" s="33"/>
      <c r="D43" s="86">
        <v>73</v>
      </c>
      <c r="E43" s="86"/>
      <c r="F43" s="186"/>
      <c r="G43" s="192"/>
      <c r="H43" s="191" t="s">
        <v>8</v>
      </c>
      <c r="I43" s="214">
        <v>1690</v>
      </c>
      <c r="J43" s="206">
        <f>47185.8+82.6</f>
        <v>47268.4</v>
      </c>
    </row>
    <row r="44" spans="1:10" s="32" customFormat="1" ht="47.25" x14ac:dyDescent="0.25">
      <c r="A44" s="26">
        <v>0</v>
      </c>
      <c r="D44" s="85">
        <f t="shared" ref="D44:D49" si="10">D43</f>
        <v>73</v>
      </c>
      <c r="E44" s="85"/>
      <c r="F44" s="186"/>
      <c r="G44" s="192"/>
      <c r="H44" s="191" t="s">
        <v>142</v>
      </c>
      <c r="I44" s="214">
        <v>152</v>
      </c>
      <c r="J44" s="206">
        <v>3051.7999999999997</v>
      </c>
    </row>
    <row r="45" spans="1:10" s="32" customFormat="1" ht="31.5" x14ac:dyDescent="0.25">
      <c r="A45" s="26">
        <v>0</v>
      </c>
      <c r="D45" s="85">
        <f t="shared" si="10"/>
        <v>73</v>
      </c>
      <c r="E45" s="85"/>
      <c r="F45" s="186"/>
      <c r="G45" s="192"/>
      <c r="H45" s="191" t="s">
        <v>143</v>
      </c>
      <c r="I45" s="214">
        <v>152</v>
      </c>
      <c r="J45" s="206">
        <v>1562.7</v>
      </c>
    </row>
    <row r="46" spans="1:10" s="32" customFormat="1" x14ac:dyDescent="0.25">
      <c r="A46" s="26">
        <v>0</v>
      </c>
      <c r="D46" s="85">
        <f t="shared" si="10"/>
        <v>73</v>
      </c>
      <c r="E46" s="85"/>
      <c r="F46" s="186"/>
      <c r="G46" s="192"/>
      <c r="H46" s="191" t="s">
        <v>7</v>
      </c>
      <c r="I46" s="214">
        <v>36</v>
      </c>
      <c r="J46" s="206">
        <v>1038.7</v>
      </c>
    </row>
    <row r="47" spans="1:10" s="32" customFormat="1" x14ac:dyDescent="0.25">
      <c r="A47" s="26">
        <v>0</v>
      </c>
      <c r="D47" s="86">
        <f>F47</f>
        <v>73</v>
      </c>
      <c r="E47" s="85"/>
      <c r="F47" s="187">
        <v>73</v>
      </c>
      <c r="G47" s="189" t="s">
        <v>99</v>
      </c>
      <c r="H47" s="198"/>
      <c r="I47" s="238">
        <f>SUM(I48:I52)</f>
        <v>872</v>
      </c>
      <c r="J47" s="237">
        <f>SUM(J48:J52)</f>
        <v>22668.5</v>
      </c>
    </row>
    <row r="48" spans="1:10" s="32" customFormat="1" ht="47.25" x14ac:dyDescent="0.25">
      <c r="A48" s="26">
        <v>0</v>
      </c>
      <c r="D48" s="85">
        <f t="shared" si="10"/>
        <v>73</v>
      </c>
      <c r="E48" s="85"/>
      <c r="F48" s="186"/>
      <c r="G48" s="192"/>
      <c r="H48" s="191" t="s">
        <v>142</v>
      </c>
      <c r="I48" s="214">
        <v>15</v>
      </c>
      <c r="J48" s="206">
        <v>293.89999999999998</v>
      </c>
    </row>
    <row r="49" spans="1:10" s="32" customFormat="1" ht="31.5" x14ac:dyDescent="0.25">
      <c r="A49" s="26">
        <v>0</v>
      </c>
      <c r="D49" s="85">
        <f t="shared" si="10"/>
        <v>73</v>
      </c>
      <c r="E49" s="85"/>
      <c r="F49" s="186"/>
      <c r="G49" s="192"/>
      <c r="H49" s="191" t="s">
        <v>143</v>
      </c>
      <c r="I49" s="214">
        <v>5</v>
      </c>
      <c r="J49" s="206">
        <v>45.1</v>
      </c>
    </row>
    <row r="50" spans="1:10" s="32" customFormat="1" x14ac:dyDescent="0.25">
      <c r="A50" s="26">
        <v>0</v>
      </c>
      <c r="D50" s="85" t="e">
        <f>#REF!</f>
        <v>#REF!</v>
      </c>
      <c r="E50" s="85"/>
      <c r="F50" s="186"/>
      <c r="G50" s="192"/>
      <c r="H50" s="191" t="s">
        <v>7</v>
      </c>
      <c r="I50" s="214">
        <v>9</v>
      </c>
      <c r="J50" s="206">
        <v>227.1</v>
      </c>
    </row>
    <row r="51" spans="1:10" s="32" customFormat="1" x14ac:dyDescent="0.25">
      <c r="A51" s="26">
        <v>0</v>
      </c>
      <c r="D51" s="85" t="e">
        <f t="shared" ref="D51" si="11">D50</f>
        <v>#REF!</v>
      </c>
      <c r="E51" s="85"/>
      <c r="F51" s="186"/>
      <c r="G51" s="192"/>
      <c r="H51" s="191" t="s">
        <v>8</v>
      </c>
      <c r="I51" s="214">
        <v>468</v>
      </c>
      <c r="J51" s="206">
        <v>12191</v>
      </c>
    </row>
    <row r="52" spans="1:10" s="32" customFormat="1" x14ac:dyDescent="0.25">
      <c r="A52" s="26">
        <v>0</v>
      </c>
      <c r="B52" s="33">
        <f>D52</f>
        <v>275</v>
      </c>
      <c r="C52" s="33"/>
      <c r="D52" s="86">
        <v>275</v>
      </c>
      <c r="E52" s="86"/>
      <c r="F52" s="186"/>
      <c r="G52" s="192"/>
      <c r="H52" s="193" t="s">
        <v>9</v>
      </c>
      <c r="I52" s="214">
        <v>375</v>
      </c>
      <c r="J52" s="206">
        <v>9911.4</v>
      </c>
    </row>
    <row r="53" spans="1:10" s="32" customFormat="1" x14ac:dyDescent="0.25">
      <c r="A53" s="26">
        <v>0</v>
      </c>
      <c r="D53" s="86">
        <f>F53</f>
        <v>35</v>
      </c>
      <c r="E53" s="85"/>
      <c r="F53" s="187">
        <v>35</v>
      </c>
      <c r="G53" s="189" t="s">
        <v>149</v>
      </c>
      <c r="H53" s="198"/>
      <c r="I53" s="238">
        <f t="shared" ref="I53" si="12">ROUND(I54+I55,0)</f>
        <v>1166</v>
      </c>
      <c r="J53" s="237">
        <f>ROUND(J54+J55,1)</f>
        <v>25730.5</v>
      </c>
    </row>
    <row r="54" spans="1:10" s="32" customFormat="1" x14ac:dyDescent="0.25">
      <c r="A54" s="26">
        <v>0</v>
      </c>
      <c r="B54" s="33">
        <f>D54</f>
        <v>49</v>
      </c>
      <c r="C54" s="33"/>
      <c r="D54" s="86">
        <v>49</v>
      </c>
      <c r="E54" s="86"/>
      <c r="F54" s="186"/>
      <c r="G54" s="192"/>
      <c r="H54" s="191" t="s">
        <v>8</v>
      </c>
      <c r="I54" s="214">
        <v>525</v>
      </c>
      <c r="J54" s="206">
        <v>10024</v>
      </c>
    </row>
    <row r="55" spans="1:10" s="32" customFormat="1" x14ac:dyDescent="0.25">
      <c r="A55" s="26">
        <v>0</v>
      </c>
      <c r="D55" s="85">
        <f t="shared" ref="D55" si="13">D54</f>
        <v>49</v>
      </c>
      <c r="E55" s="85"/>
      <c r="F55" s="186"/>
      <c r="G55" s="192"/>
      <c r="H55" s="191" t="s">
        <v>21</v>
      </c>
      <c r="I55" s="214">
        <v>641</v>
      </c>
      <c r="J55" s="206">
        <v>15706.5</v>
      </c>
    </row>
    <row r="56" spans="1:10" s="32" customFormat="1" x14ac:dyDescent="0.25">
      <c r="A56" s="26">
        <v>0</v>
      </c>
      <c r="D56" s="86">
        <f>F56</f>
        <v>275</v>
      </c>
      <c r="E56" s="85"/>
      <c r="F56" s="187">
        <v>275</v>
      </c>
      <c r="G56" s="189" t="s">
        <v>150</v>
      </c>
      <c r="H56" s="198"/>
      <c r="I56" s="238">
        <f t="shared" ref="I56" si="14">ROUND(I57,0)</f>
        <v>561</v>
      </c>
      <c r="J56" s="237">
        <f>ROUND(J57,1)</f>
        <v>11453.1</v>
      </c>
    </row>
    <row r="57" spans="1:10" s="32" customFormat="1" x14ac:dyDescent="0.25">
      <c r="A57" s="26">
        <v>0</v>
      </c>
      <c r="B57" s="33">
        <f>D57</f>
        <v>146</v>
      </c>
      <c r="C57" s="33"/>
      <c r="D57" s="86">
        <v>146</v>
      </c>
      <c r="E57" s="86"/>
      <c r="F57" s="186"/>
      <c r="G57" s="192"/>
      <c r="H57" s="191" t="s">
        <v>8</v>
      </c>
      <c r="I57" s="214">
        <v>561</v>
      </c>
      <c r="J57" s="206">
        <v>11453.1</v>
      </c>
    </row>
    <row r="58" spans="1:10" s="32" customFormat="1" x14ac:dyDescent="0.25">
      <c r="A58" s="26">
        <v>0</v>
      </c>
      <c r="D58" s="86">
        <f>F58</f>
        <v>146</v>
      </c>
      <c r="E58" s="85"/>
      <c r="F58" s="187">
        <v>146</v>
      </c>
      <c r="G58" s="189" t="s">
        <v>102</v>
      </c>
      <c r="H58" s="198"/>
      <c r="I58" s="238">
        <f t="shared" ref="I58" si="15">ROUND(I59+I60,0)</f>
        <v>1118</v>
      </c>
      <c r="J58" s="237">
        <f>ROUND(J59+J60,1)</f>
        <v>24481.7</v>
      </c>
    </row>
    <row r="59" spans="1:10" s="32" customFormat="1" x14ac:dyDescent="0.25">
      <c r="A59" s="26">
        <v>0</v>
      </c>
      <c r="D59" s="85">
        <f>D58</f>
        <v>146</v>
      </c>
      <c r="E59" s="85"/>
      <c r="F59" s="186"/>
      <c r="G59" s="192"/>
      <c r="H59" s="191" t="s">
        <v>151</v>
      </c>
      <c r="I59" s="214">
        <f>250+670</f>
        <v>920</v>
      </c>
      <c r="J59" s="206">
        <f>3783.1+937.9+13400</f>
        <v>18121</v>
      </c>
    </row>
    <row r="60" spans="1:10" s="32" customFormat="1" x14ac:dyDescent="0.25">
      <c r="A60" s="26">
        <v>0</v>
      </c>
      <c r="B60" s="33">
        <f>D60</f>
        <v>292</v>
      </c>
      <c r="C60" s="33"/>
      <c r="D60" s="86">
        <v>292</v>
      </c>
      <c r="E60" s="86"/>
      <c r="F60" s="186"/>
      <c r="G60" s="192"/>
      <c r="H60" s="191" t="s">
        <v>7</v>
      </c>
      <c r="I60" s="214">
        <f>900-670-32</f>
        <v>198</v>
      </c>
      <c r="J60" s="206">
        <f>22281.8-937.9-13400-1583.2</f>
        <v>6360.699999999998</v>
      </c>
    </row>
    <row r="61" spans="1:10" s="32" customFormat="1" x14ac:dyDescent="0.25">
      <c r="A61" s="26">
        <v>0</v>
      </c>
      <c r="D61" s="86">
        <f>F61</f>
        <v>292</v>
      </c>
      <c r="E61" s="85"/>
      <c r="F61" s="187">
        <v>292</v>
      </c>
      <c r="G61" s="189" t="s">
        <v>152</v>
      </c>
      <c r="H61" s="198"/>
      <c r="I61" s="238">
        <f t="shared" ref="I61" si="16">ROUND(I62+I63,0)</f>
        <v>900</v>
      </c>
      <c r="J61" s="237">
        <f>ROUND(J62+J63,1)</f>
        <v>74853.7</v>
      </c>
    </row>
    <row r="62" spans="1:10" s="32" customFormat="1" ht="47.25" x14ac:dyDescent="0.25">
      <c r="A62" s="26">
        <v>0</v>
      </c>
      <c r="D62" s="85">
        <f t="shared" ref="D62" si="17">D61</f>
        <v>292</v>
      </c>
      <c r="E62" s="85"/>
      <c r="F62" s="186"/>
      <c r="G62" s="192"/>
      <c r="H62" s="191" t="s">
        <v>142</v>
      </c>
      <c r="I62" s="214">
        <v>300</v>
      </c>
      <c r="J62" s="206">
        <f>4748.7+980.7</f>
        <v>5729.4</v>
      </c>
    </row>
    <row r="63" spans="1:10" s="32" customFormat="1" ht="31.5" x14ac:dyDescent="0.25">
      <c r="A63" s="26">
        <v>0</v>
      </c>
      <c r="B63" s="33">
        <f>D63</f>
        <v>10</v>
      </c>
      <c r="C63" s="33"/>
      <c r="D63" s="86">
        <v>10</v>
      </c>
      <c r="E63" s="86"/>
      <c r="F63" s="186"/>
      <c r="G63" s="192"/>
      <c r="H63" s="191" t="s">
        <v>153</v>
      </c>
      <c r="I63" s="214">
        <v>600</v>
      </c>
      <c r="J63" s="206">
        <f>70105-980.7</f>
        <v>69124.3</v>
      </c>
    </row>
    <row r="64" spans="1:10" s="32" customFormat="1" x14ac:dyDescent="0.25">
      <c r="A64" s="26">
        <v>0</v>
      </c>
      <c r="D64" s="86">
        <f>F64</f>
        <v>10</v>
      </c>
      <c r="E64" s="85"/>
      <c r="F64" s="187">
        <v>10</v>
      </c>
      <c r="G64" s="189" t="s">
        <v>154</v>
      </c>
      <c r="H64" s="198"/>
      <c r="I64" s="238">
        <f t="shared" ref="I64" si="18">ROUND(I65+I66,0)</f>
        <v>3000</v>
      </c>
      <c r="J64" s="237">
        <f>ROUND(J65+J66,1)</f>
        <v>63111.199999999997</v>
      </c>
    </row>
    <row r="65" spans="1:10" s="32" customFormat="1" x14ac:dyDescent="0.25">
      <c r="A65" s="26">
        <v>0</v>
      </c>
      <c r="D65" s="85">
        <f t="shared" ref="D65" si="19">D64</f>
        <v>10</v>
      </c>
      <c r="E65" s="85"/>
      <c r="F65" s="186"/>
      <c r="G65" s="192"/>
      <c r="H65" s="191" t="s">
        <v>8</v>
      </c>
      <c r="I65" s="214">
        <f>1800+200</f>
        <v>2000</v>
      </c>
      <c r="J65" s="206">
        <f>36813.4+4105.6</f>
        <v>40919</v>
      </c>
    </row>
    <row r="66" spans="1:10" s="32" customFormat="1" x14ac:dyDescent="0.25">
      <c r="A66" s="26">
        <v>0</v>
      </c>
      <c r="B66" s="33">
        <f>D66</f>
        <v>4</v>
      </c>
      <c r="C66" s="33"/>
      <c r="D66" s="86">
        <v>4</v>
      </c>
      <c r="E66" s="86"/>
      <c r="F66" s="186"/>
      <c r="G66" s="192"/>
      <c r="H66" s="191" t="s">
        <v>4</v>
      </c>
      <c r="I66" s="214">
        <v>1000</v>
      </c>
      <c r="J66" s="206">
        <v>22192.2</v>
      </c>
    </row>
    <row r="67" spans="1:10" s="32" customFormat="1" x14ac:dyDescent="0.25">
      <c r="A67" s="26">
        <v>0</v>
      </c>
      <c r="D67" s="86">
        <f>F67</f>
        <v>4</v>
      </c>
      <c r="E67" s="85"/>
      <c r="F67" s="187">
        <v>4</v>
      </c>
      <c r="G67" s="189" t="s">
        <v>155</v>
      </c>
      <c r="H67" s="198"/>
      <c r="I67" s="238">
        <f t="shared" ref="I67" si="20">ROUND(I68,0)</f>
        <v>2532</v>
      </c>
      <c r="J67" s="237">
        <f>ROUND(J68,1)</f>
        <v>51683.7</v>
      </c>
    </row>
    <row r="68" spans="1:10" s="32" customFormat="1" x14ac:dyDescent="0.25">
      <c r="A68" s="26">
        <v>0</v>
      </c>
      <c r="B68" s="33">
        <f>D68</f>
        <v>142</v>
      </c>
      <c r="C68" s="33"/>
      <c r="D68" s="86">
        <v>142</v>
      </c>
      <c r="E68" s="86"/>
      <c r="F68" s="186"/>
      <c r="G68" s="192"/>
      <c r="H68" s="191" t="s">
        <v>8</v>
      </c>
      <c r="I68" s="214">
        <v>2532</v>
      </c>
      <c r="J68" s="206">
        <v>51683.700000000004</v>
      </c>
    </row>
    <row r="69" spans="1:10" s="32" customFormat="1" x14ac:dyDescent="0.25">
      <c r="A69" s="26">
        <v>0</v>
      </c>
      <c r="D69" s="86">
        <f>F69</f>
        <v>142</v>
      </c>
      <c r="E69" s="85"/>
      <c r="F69" s="187">
        <v>142</v>
      </c>
      <c r="G69" s="189" t="s">
        <v>113</v>
      </c>
      <c r="H69" s="198"/>
      <c r="I69" s="238">
        <f t="shared" ref="I69" si="21">ROUND(I70+I71,0)</f>
        <v>3050</v>
      </c>
      <c r="J69" s="237">
        <f>ROUND(J70+J71,1)</f>
        <v>40775.4</v>
      </c>
    </row>
    <row r="70" spans="1:10" s="32" customFormat="1" ht="47.25" x14ac:dyDescent="0.25">
      <c r="A70" s="26">
        <v>0</v>
      </c>
      <c r="D70" s="85">
        <f t="shared" ref="D70" si="22">D69</f>
        <v>142</v>
      </c>
      <c r="E70" s="85"/>
      <c r="F70" s="186"/>
      <c r="G70" s="192"/>
      <c r="H70" s="191" t="s">
        <v>142</v>
      </c>
      <c r="I70" s="214">
        <v>2850</v>
      </c>
      <c r="J70" s="206">
        <v>39411.599999999999</v>
      </c>
    </row>
    <row r="71" spans="1:10" s="32" customFormat="1" ht="31.5" x14ac:dyDescent="0.25">
      <c r="A71" s="26">
        <v>0</v>
      </c>
      <c r="B71" s="33">
        <f>D71</f>
        <v>129</v>
      </c>
      <c r="C71" s="33"/>
      <c r="D71" s="86">
        <v>129</v>
      </c>
      <c r="E71" s="86"/>
      <c r="F71" s="186"/>
      <c r="G71" s="192"/>
      <c r="H71" s="191" t="s">
        <v>143</v>
      </c>
      <c r="I71" s="214">
        <v>200</v>
      </c>
      <c r="J71" s="206">
        <v>1363.8</v>
      </c>
    </row>
    <row r="72" spans="1:10" s="32" customFormat="1" x14ac:dyDescent="0.25">
      <c r="A72" s="26">
        <v>0</v>
      </c>
      <c r="D72" s="86">
        <f>F72</f>
        <v>129</v>
      </c>
      <c r="E72" s="85"/>
      <c r="F72" s="187">
        <v>129</v>
      </c>
      <c r="G72" s="189" t="s">
        <v>105</v>
      </c>
      <c r="H72" s="198"/>
      <c r="I72" s="238">
        <f t="shared" ref="I72" si="23">ROUND(I73+I74,0)</f>
        <v>3890</v>
      </c>
      <c r="J72" s="237">
        <f>ROUND(J73+J74,1)</f>
        <v>52508.2</v>
      </c>
    </row>
    <row r="73" spans="1:10" s="32" customFormat="1" ht="47.25" x14ac:dyDescent="0.25">
      <c r="A73" s="26">
        <v>0</v>
      </c>
      <c r="D73" s="85">
        <f t="shared" ref="D73" si="24">D72</f>
        <v>129</v>
      </c>
      <c r="E73" s="85"/>
      <c r="F73" s="186"/>
      <c r="G73" s="192"/>
      <c r="H73" s="191" t="s">
        <v>142</v>
      </c>
      <c r="I73" s="214">
        <f>3184+290</f>
        <v>3474</v>
      </c>
      <c r="J73" s="206">
        <f>45160.9+4486.6</f>
        <v>49647.5</v>
      </c>
    </row>
    <row r="74" spans="1:10" s="32" customFormat="1" ht="32.25" customHeight="1" x14ac:dyDescent="0.25">
      <c r="A74" s="26">
        <v>0</v>
      </c>
      <c r="B74" s="33">
        <f>D74</f>
        <v>231</v>
      </c>
      <c r="C74" s="33"/>
      <c r="D74" s="86">
        <v>231</v>
      </c>
      <c r="E74" s="86"/>
      <c r="F74" s="186"/>
      <c r="G74" s="192"/>
      <c r="H74" s="191" t="s">
        <v>143</v>
      </c>
      <c r="I74" s="214">
        <v>416</v>
      </c>
      <c r="J74" s="206">
        <v>2860.7</v>
      </c>
    </row>
    <row r="75" spans="1:10" s="32" customFormat="1" x14ac:dyDescent="0.25">
      <c r="A75" s="26">
        <v>0</v>
      </c>
      <c r="D75" s="86">
        <f>F75</f>
        <v>231</v>
      </c>
      <c r="E75" s="85"/>
      <c r="F75" s="187">
        <v>231</v>
      </c>
      <c r="G75" s="189" t="s">
        <v>156</v>
      </c>
      <c r="H75" s="198"/>
      <c r="I75" s="238">
        <f>ROUND(I76+I77+I78+I80+I79,0)</f>
        <v>1429</v>
      </c>
      <c r="J75" s="237">
        <f>ROUND(J76+J77+J78+J80+J79,1)</f>
        <v>29894.9</v>
      </c>
    </row>
    <row r="76" spans="1:10" s="32" customFormat="1" ht="31.5" x14ac:dyDescent="0.25">
      <c r="A76" s="26">
        <v>0</v>
      </c>
      <c r="D76" s="85">
        <f t="shared" ref="D76:D78" si="25">D75</f>
        <v>231</v>
      </c>
      <c r="E76" s="85"/>
      <c r="F76" s="186"/>
      <c r="G76" s="192"/>
      <c r="H76" s="191" t="s">
        <v>143</v>
      </c>
      <c r="I76" s="214">
        <v>45</v>
      </c>
      <c r="J76" s="206">
        <v>289.5</v>
      </c>
    </row>
    <row r="77" spans="1:10" s="32" customFormat="1" x14ac:dyDescent="0.25">
      <c r="A77" s="26">
        <v>0</v>
      </c>
      <c r="D77" s="85">
        <f>D76</f>
        <v>231</v>
      </c>
      <c r="E77" s="85"/>
      <c r="F77" s="186"/>
      <c r="G77" s="192"/>
      <c r="H77" s="191" t="s">
        <v>9</v>
      </c>
      <c r="I77" s="214">
        <v>248</v>
      </c>
      <c r="J77" s="206">
        <v>5256.4</v>
      </c>
    </row>
    <row r="78" spans="1:10" s="32" customFormat="1" x14ac:dyDescent="0.25">
      <c r="A78" s="26">
        <v>0</v>
      </c>
      <c r="D78" s="85">
        <f t="shared" si="25"/>
        <v>231</v>
      </c>
      <c r="E78" s="85"/>
      <c r="F78" s="186"/>
      <c r="G78" s="192"/>
      <c r="H78" s="191" t="s">
        <v>4</v>
      </c>
      <c r="I78" s="214">
        <v>18</v>
      </c>
      <c r="J78" s="206">
        <v>363.3</v>
      </c>
    </row>
    <row r="79" spans="1:10" s="32" customFormat="1" x14ac:dyDescent="0.25">
      <c r="A79" s="26"/>
      <c r="D79" s="85"/>
      <c r="E79" s="85"/>
      <c r="F79" s="186"/>
      <c r="G79" s="192"/>
      <c r="H79" s="191" t="s">
        <v>7</v>
      </c>
      <c r="I79" s="214">
        <v>40</v>
      </c>
      <c r="J79" s="206">
        <v>860</v>
      </c>
    </row>
    <row r="80" spans="1:10" s="32" customFormat="1" x14ac:dyDescent="0.25">
      <c r="A80" s="26">
        <v>0</v>
      </c>
      <c r="B80" s="33">
        <f>D80</f>
        <v>115</v>
      </c>
      <c r="C80" s="33"/>
      <c r="D80" s="86">
        <v>115</v>
      </c>
      <c r="E80" s="86"/>
      <c r="F80" s="186"/>
      <c r="G80" s="192"/>
      <c r="H80" s="191" t="s">
        <v>8</v>
      </c>
      <c r="I80" s="214">
        <f>1118-40</f>
        <v>1078</v>
      </c>
      <c r="J80" s="206">
        <f>23985.7-860</f>
        <v>23125.7</v>
      </c>
    </row>
    <row r="81" spans="1:10" s="32" customFormat="1" x14ac:dyDescent="0.25">
      <c r="A81" s="26">
        <v>0</v>
      </c>
      <c r="D81" s="86">
        <f>F81</f>
        <v>115</v>
      </c>
      <c r="E81" s="85"/>
      <c r="F81" s="187">
        <v>115</v>
      </c>
      <c r="G81" s="189" t="s">
        <v>157</v>
      </c>
      <c r="H81" s="198"/>
      <c r="I81" s="238">
        <f t="shared" ref="I81" si="26">ROUND(I82+I83+I84+I85+I86+I87+I88+I89+I90+I91+I92,0)</f>
        <v>1895</v>
      </c>
      <c r="J81" s="237">
        <f>ROUND(J82+J83+J84+J85+J86+J87+J88+J89+J90+J91+J92,1)</f>
        <v>57556.6</v>
      </c>
    </row>
    <row r="82" spans="1:10" s="32" customFormat="1" ht="47.25" x14ac:dyDescent="0.25">
      <c r="A82" s="26">
        <v>0</v>
      </c>
      <c r="D82" s="85">
        <f t="shared" ref="D82:D89" si="27">D81</f>
        <v>115</v>
      </c>
      <c r="E82" s="85"/>
      <c r="F82" s="186"/>
      <c r="G82" s="192"/>
      <c r="H82" s="191" t="s">
        <v>142</v>
      </c>
      <c r="I82" s="214">
        <v>331</v>
      </c>
      <c r="J82" s="206">
        <v>5863.2</v>
      </c>
    </row>
    <row r="83" spans="1:10" s="32" customFormat="1" ht="31.5" x14ac:dyDescent="0.25">
      <c r="A83" s="26">
        <v>0</v>
      </c>
      <c r="D83" s="85">
        <f t="shared" si="27"/>
        <v>115</v>
      </c>
      <c r="E83" s="85"/>
      <c r="F83" s="186"/>
      <c r="G83" s="192"/>
      <c r="H83" s="191" t="s">
        <v>143</v>
      </c>
      <c r="I83" s="214">
        <v>43</v>
      </c>
      <c r="J83" s="206">
        <v>390.8</v>
      </c>
    </row>
    <row r="84" spans="1:10" s="32" customFormat="1" x14ac:dyDescent="0.25">
      <c r="A84" s="26">
        <v>0</v>
      </c>
      <c r="D84" s="85">
        <f t="shared" si="27"/>
        <v>115</v>
      </c>
      <c r="E84" s="85"/>
      <c r="F84" s="186"/>
      <c r="G84" s="192"/>
      <c r="H84" s="191" t="s">
        <v>16</v>
      </c>
      <c r="I84" s="214">
        <v>255</v>
      </c>
      <c r="J84" s="206">
        <v>6096.7</v>
      </c>
    </row>
    <row r="85" spans="1:10" s="32" customFormat="1" x14ac:dyDescent="0.25">
      <c r="A85" s="26">
        <v>0</v>
      </c>
      <c r="C85" s="32">
        <f>D85</f>
        <v>115</v>
      </c>
      <c r="D85" s="85">
        <f>D84</f>
        <v>115</v>
      </c>
      <c r="E85" s="85"/>
      <c r="F85" s="186"/>
      <c r="G85" s="192"/>
      <c r="H85" s="191" t="s">
        <v>9</v>
      </c>
      <c r="I85" s="214">
        <v>247</v>
      </c>
      <c r="J85" s="206">
        <v>6269.2</v>
      </c>
    </row>
    <row r="86" spans="1:10" s="32" customFormat="1" x14ac:dyDescent="0.25">
      <c r="A86" s="26">
        <v>0</v>
      </c>
      <c r="D86" s="85">
        <f t="shared" si="27"/>
        <v>115</v>
      </c>
      <c r="E86" s="85"/>
      <c r="F86" s="186"/>
      <c r="G86" s="192"/>
      <c r="H86" s="191" t="s">
        <v>19</v>
      </c>
      <c r="I86" s="214">
        <v>64</v>
      </c>
      <c r="J86" s="206">
        <f>306.5+160.4</f>
        <v>466.9</v>
      </c>
    </row>
    <row r="87" spans="1:10" s="32" customFormat="1" x14ac:dyDescent="0.25">
      <c r="A87" s="26">
        <v>0</v>
      </c>
      <c r="D87" s="85">
        <f t="shared" si="27"/>
        <v>115</v>
      </c>
      <c r="E87" s="85"/>
      <c r="F87" s="186"/>
      <c r="G87" s="192"/>
      <c r="H87" s="191" t="s">
        <v>7</v>
      </c>
      <c r="I87" s="214">
        <v>103</v>
      </c>
      <c r="J87" s="206">
        <v>2760.1</v>
      </c>
    </row>
    <row r="88" spans="1:10" s="32" customFormat="1" x14ac:dyDescent="0.25">
      <c r="A88" s="26">
        <v>0</v>
      </c>
      <c r="D88" s="85">
        <f t="shared" si="27"/>
        <v>115</v>
      </c>
      <c r="E88" s="85"/>
      <c r="F88" s="186"/>
      <c r="G88" s="192"/>
      <c r="H88" s="191" t="s">
        <v>8</v>
      </c>
      <c r="I88" s="214">
        <f>578-142</f>
        <v>436</v>
      </c>
      <c r="J88" s="206">
        <f>15280.3+111.7</f>
        <v>15392</v>
      </c>
    </row>
    <row r="89" spans="1:10" s="32" customFormat="1" x14ac:dyDescent="0.25">
      <c r="A89" s="26">
        <v>0</v>
      </c>
      <c r="D89" s="85">
        <f t="shared" si="27"/>
        <v>115</v>
      </c>
      <c r="E89" s="85"/>
      <c r="F89" s="186"/>
      <c r="G89" s="192"/>
      <c r="H89" s="191" t="s">
        <v>4</v>
      </c>
      <c r="I89" s="214">
        <v>117</v>
      </c>
      <c r="J89" s="206">
        <v>2890.4</v>
      </c>
    </row>
    <row r="90" spans="1:10" s="32" customFormat="1" x14ac:dyDescent="0.25">
      <c r="A90" s="26">
        <v>0</v>
      </c>
      <c r="B90" s="33">
        <f>D90</f>
        <v>144</v>
      </c>
      <c r="C90" s="33"/>
      <c r="D90" s="86">
        <v>144</v>
      </c>
      <c r="E90" s="86"/>
      <c r="F90" s="186"/>
      <c r="G90" s="192"/>
      <c r="H90" s="191" t="s">
        <v>147</v>
      </c>
      <c r="I90" s="214">
        <v>127</v>
      </c>
      <c r="J90" s="206">
        <v>3249.3</v>
      </c>
    </row>
    <row r="91" spans="1:10" s="32" customFormat="1" x14ac:dyDescent="0.25">
      <c r="A91" s="26">
        <v>0</v>
      </c>
      <c r="D91" s="85">
        <f t="shared" ref="D91:D92" si="28">D90</f>
        <v>144</v>
      </c>
      <c r="E91" s="85"/>
      <c r="F91" s="186"/>
      <c r="G91" s="192"/>
      <c r="H91" s="191" t="s">
        <v>426</v>
      </c>
      <c r="I91" s="214">
        <v>160</v>
      </c>
      <c r="J91" s="206">
        <f>12608-272.1</f>
        <v>12335.9</v>
      </c>
    </row>
    <row r="92" spans="1:10" s="32" customFormat="1" x14ac:dyDescent="0.25">
      <c r="A92" s="26">
        <v>0</v>
      </c>
      <c r="D92" s="85">
        <f t="shared" si="28"/>
        <v>144</v>
      </c>
      <c r="E92" s="85"/>
      <c r="F92" s="186"/>
      <c r="G92" s="192"/>
      <c r="H92" s="191" t="s">
        <v>427</v>
      </c>
      <c r="I92" s="214">
        <v>12</v>
      </c>
      <c r="J92" s="206">
        <v>1842.1</v>
      </c>
    </row>
    <row r="93" spans="1:10" s="32" customFormat="1" x14ac:dyDescent="0.25">
      <c r="A93" s="26">
        <v>0</v>
      </c>
      <c r="D93" s="86">
        <f>F93</f>
        <v>144</v>
      </c>
      <c r="E93" s="85"/>
      <c r="F93" s="187">
        <v>144</v>
      </c>
      <c r="G93" s="189" t="s">
        <v>158</v>
      </c>
      <c r="H93" s="198"/>
      <c r="I93" s="239">
        <f t="shared" ref="I93" si="29">ROUND(I94+I95+I96+I97,0)</f>
        <v>2198</v>
      </c>
      <c r="J93" s="115">
        <f>ROUND(J94+J95+J96+J97,1)</f>
        <v>86840.5</v>
      </c>
    </row>
    <row r="94" spans="1:10" s="32" customFormat="1" x14ac:dyDescent="0.25">
      <c r="A94" s="26"/>
      <c r="D94" s="85">
        <f>D93</f>
        <v>144</v>
      </c>
      <c r="E94" s="85"/>
      <c r="F94" s="186"/>
      <c r="G94" s="192"/>
      <c r="H94" s="191" t="s">
        <v>202</v>
      </c>
      <c r="I94" s="214">
        <v>186</v>
      </c>
      <c r="J94" s="206">
        <v>24637.8</v>
      </c>
    </row>
    <row r="95" spans="1:10" s="32" customFormat="1" x14ac:dyDescent="0.25">
      <c r="A95" s="26">
        <v>0</v>
      </c>
      <c r="B95" s="33">
        <f>D95</f>
        <v>83</v>
      </c>
      <c r="C95" s="33"/>
      <c r="D95" s="86">
        <v>83</v>
      </c>
      <c r="E95" s="86"/>
      <c r="F95" s="186"/>
      <c r="G95" s="192"/>
      <c r="H95" s="191" t="s">
        <v>25</v>
      </c>
      <c r="I95" s="214">
        <f>1132+150</f>
        <v>1282</v>
      </c>
      <c r="J95" s="206">
        <f>41088.1+5914.7</f>
        <v>47002.799999999996</v>
      </c>
    </row>
    <row r="96" spans="1:10" s="32" customFormat="1" x14ac:dyDescent="0.25">
      <c r="A96" s="26">
        <v>0</v>
      </c>
      <c r="D96" s="85">
        <f>D95</f>
        <v>83</v>
      </c>
      <c r="E96" s="85"/>
      <c r="F96" s="186"/>
      <c r="G96" s="192"/>
      <c r="H96" s="191" t="s">
        <v>41</v>
      </c>
      <c r="I96" s="214">
        <v>280</v>
      </c>
      <c r="J96" s="206">
        <v>5600.8</v>
      </c>
    </row>
    <row r="97" spans="1:10" s="32" customFormat="1" x14ac:dyDescent="0.25">
      <c r="A97" s="26">
        <v>0</v>
      </c>
      <c r="B97" s="33">
        <f>D97</f>
        <v>188</v>
      </c>
      <c r="C97" s="33"/>
      <c r="D97" s="86">
        <v>188</v>
      </c>
      <c r="E97" s="86"/>
      <c r="F97" s="186"/>
      <c r="G97" s="192"/>
      <c r="H97" s="191" t="s">
        <v>209</v>
      </c>
      <c r="I97" s="214">
        <v>450</v>
      </c>
      <c r="J97" s="206">
        <v>9599.1</v>
      </c>
    </row>
    <row r="98" spans="1:10" s="32" customFormat="1" x14ac:dyDescent="0.25">
      <c r="A98" s="26">
        <v>0</v>
      </c>
      <c r="C98" s="32">
        <f>D98</f>
        <v>83</v>
      </c>
      <c r="D98" s="86">
        <f>F98</f>
        <v>83</v>
      </c>
      <c r="E98" s="85"/>
      <c r="F98" s="187">
        <v>83</v>
      </c>
      <c r="G98" s="189" t="s">
        <v>108</v>
      </c>
      <c r="H98" s="198"/>
      <c r="I98" s="239">
        <f t="shared" ref="I98:J98" si="30">I99+I100</f>
        <v>2400</v>
      </c>
      <c r="J98" s="115">
        <f t="shared" si="30"/>
        <v>48423.8</v>
      </c>
    </row>
    <row r="99" spans="1:10" s="32" customFormat="1" x14ac:dyDescent="0.25">
      <c r="A99" s="26">
        <v>0</v>
      </c>
      <c r="C99" s="32">
        <f>D99</f>
        <v>83</v>
      </c>
      <c r="D99" s="201">
        <f t="shared" ref="D99" si="31">D98</f>
        <v>83</v>
      </c>
      <c r="E99" s="85"/>
      <c r="F99" s="186"/>
      <c r="G99" s="192"/>
      <c r="H99" s="191" t="s">
        <v>9</v>
      </c>
      <c r="I99" s="214">
        <v>1215</v>
      </c>
      <c r="J99" s="206">
        <v>27665.5</v>
      </c>
    </row>
    <row r="100" spans="1:10" s="32" customFormat="1" x14ac:dyDescent="0.25">
      <c r="A100" s="26">
        <v>0</v>
      </c>
      <c r="B100" s="33">
        <f>D100</f>
        <v>87</v>
      </c>
      <c r="C100" s="33"/>
      <c r="D100" s="86">
        <v>87</v>
      </c>
      <c r="E100" s="86"/>
      <c r="F100" s="186"/>
      <c r="G100" s="192"/>
      <c r="H100" s="191" t="s">
        <v>8</v>
      </c>
      <c r="I100" s="214">
        <f>942+243</f>
        <v>1185</v>
      </c>
      <c r="J100" s="206">
        <f>15795.9+4962.4</f>
        <v>20758.3</v>
      </c>
    </row>
    <row r="101" spans="1:10" s="32" customFormat="1" x14ac:dyDescent="0.25">
      <c r="A101" s="26">
        <v>0</v>
      </c>
      <c r="D101" s="86">
        <f>F101</f>
        <v>188</v>
      </c>
      <c r="E101" s="85"/>
      <c r="F101" s="187">
        <v>188</v>
      </c>
      <c r="G101" s="189" t="s">
        <v>109</v>
      </c>
      <c r="H101" s="198"/>
      <c r="I101" s="238">
        <f t="shared" ref="I101:J101" si="32">I102+I103+I104</f>
        <v>12825</v>
      </c>
      <c r="J101" s="237">
        <f t="shared" si="32"/>
        <v>1532934.3</v>
      </c>
    </row>
    <row r="102" spans="1:10" s="32" customFormat="1" x14ac:dyDescent="0.25">
      <c r="A102" s="26">
        <v>0</v>
      </c>
      <c r="D102" s="85">
        <f t="shared" ref="D102:D104" si="33">D101</f>
        <v>188</v>
      </c>
      <c r="E102" s="85"/>
      <c r="F102" s="186"/>
      <c r="G102" s="192"/>
      <c r="H102" s="191" t="s">
        <v>19</v>
      </c>
      <c r="I102" s="214">
        <v>10948</v>
      </c>
      <c r="J102" s="206">
        <f>1405843.6+11824.4</f>
        <v>1417668</v>
      </c>
    </row>
    <row r="103" spans="1:10" s="32" customFormat="1" x14ac:dyDescent="0.25">
      <c r="A103" s="26">
        <v>0</v>
      </c>
      <c r="C103" s="32">
        <f>D103</f>
        <v>188</v>
      </c>
      <c r="D103" s="85">
        <f t="shared" si="33"/>
        <v>188</v>
      </c>
      <c r="E103" s="85"/>
      <c r="F103" s="186"/>
      <c r="G103" s="192"/>
      <c r="H103" s="191" t="s">
        <v>428</v>
      </c>
      <c r="I103" s="214">
        <v>1280</v>
      </c>
      <c r="J103" s="206">
        <v>89940</v>
      </c>
    </row>
    <row r="104" spans="1:10" s="32" customFormat="1" x14ac:dyDescent="0.25">
      <c r="A104" s="26">
        <v>0</v>
      </c>
      <c r="D104" s="85">
        <f t="shared" si="33"/>
        <v>188</v>
      </c>
      <c r="E104" s="85"/>
      <c r="F104" s="186"/>
      <c r="G104" s="192"/>
      <c r="H104" s="191" t="s">
        <v>4</v>
      </c>
      <c r="I104" s="214">
        <v>597</v>
      </c>
      <c r="J104" s="206">
        <f>37150.7-11824.4</f>
        <v>25326.299999999996</v>
      </c>
    </row>
    <row r="105" spans="1:10" s="32" customFormat="1" x14ac:dyDescent="0.25">
      <c r="A105" s="26">
        <v>0</v>
      </c>
      <c r="D105" s="86">
        <f>F105</f>
        <v>87</v>
      </c>
      <c r="E105" s="85"/>
      <c r="F105" s="187">
        <v>87</v>
      </c>
      <c r="G105" s="189" t="s">
        <v>159</v>
      </c>
      <c r="H105" s="198"/>
      <c r="I105" s="238">
        <f t="shared" ref="I105:J105" si="34">I106+I107+I108+I109+I110</f>
        <v>1482</v>
      </c>
      <c r="J105" s="237">
        <f t="shared" si="34"/>
        <v>29758</v>
      </c>
    </row>
    <row r="106" spans="1:10" s="32" customFormat="1" ht="47.25" x14ac:dyDescent="0.25">
      <c r="A106" s="26">
        <v>0</v>
      </c>
      <c r="B106" s="33">
        <f>D106</f>
        <v>59</v>
      </c>
      <c r="C106" s="33"/>
      <c r="D106" s="86">
        <v>59</v>
      </c>
      <c r="E106" s="86"/>
      <c r="F106" s="186"/>
      <c r="G106" s="192"/>
      <c r="H106" s="191" t="s">
        <v>142</v>
      </c>
      <c r="I106" s="214">
        <v>65</v>
      </c>
      <c r="J106" s="206">
        <v>817.9</v>
      </c>
    </row>
    <row r="107" spans="1:10" s="32" customFormat="1" ht="31.5" x14ac:dyDescent="0.25">
      <c r="A107" s="26">
        <v>0</v>
      </c>
      <c r="D107" s="85">
        <f t="shared" ref="D107:D110" si="35">D106</f>
        <v>59</v>
      </c>
      <c r="E107" s="85"/>
      <c r="F107" s="186"/>
      <c r="G107" s="192"/>
      <c r="H107" s="191" t="s">
        <v>143</v>
      </c>
      <c r="I107" s="214">
        <v>50</v>
      </c>
      <c r="J107" s="206">
        <v>336</v>
      </c>
    </row>
    <row r="108" spans="1:10" s="32" customFormat="1" x14ac:dyDescent="0.25">
      <c r="A108" s="26">
        <v>0</v>
      </c>
      <c r="D108" s="85">
        <f t="shared" si="35"/>
        <v>59</v>
      </c>
      <c r="E108" s="85"/>
      <c r="F108" s="186"/>
      <c r="G108" s="192"/>
      <c r="H108" s="191" t="s">
        <v>19</v>
      </c>
      <c r="I108" s="214">
        <v>30</v>
      </c>
      <c r="J108" s="206">
        <f>212.2+1825.5</f>
        <v>2037.7</v>
      </c>
    </row>
    <row r="109" spans="1:10" s="32" customFormat="1" x14ac:dyDescent="0.25">
      <c r="A109" s="26">
        <v>0</v>
      </c>
      <c r="C109" s="32">
        <f>D109</f>
        <v>59</v>
      </c>
      <c r="D109" s="85">
        <f t="shared" si="35"/>
        <v>59</v>
      </c>
      <c r="E109" s="85"/>
      <c r="F109" s="186"/>
      <c r="G109" s="192"/>
      <c r="H109" s="191" t="s">
        <v>7</v>
      </c>
      <c r="I109" s="214">
        <v>160</v>
      </c>
      <c r="J109" s="206">
        <v>2383.4</v>
      </c>
    </row>
    <row r="110" spans="1:10" s="32" customFormat="1" x14ac:dyDescent="0.25">
      <c r="A110" s="26">
        <v>0</v>
      </c>
      <c r="D110" s="85">
        <f t="shared" si="35"/>
        <v>59</v>
      </c>
      <c r="E110" s="85"/>
      <c r="F110" s="186"/>
      <c r="G110" s="192"/>
      <c r="H110" s="191" t="s">
        <v>8</v>
      </c>
      <c r="I110" s="214">
        <v>1177</v>
      </c>
      <c r="J110" s="206">
        <f>26008.5-1825.5</f>
        <v>24183</v>
      </c>
    </row>
    <row r="111" spans="1:10" s="32" customFormat="1" x14ac:dyDescent="0.25">
      <c r="A111" s="26">
        <v>0</v>
      </c>
      <c r="D111" s="86">
        <f>F111</f>
        <v>59</v>
      </c>
      <c r="E111" s="85"/>
      <c r="F111" s="187">
        <v>59</v>
      </c>
      <c r="G111" s="205" t="s">
        <v>135</v>
      </c>
      <c r="H111" s="198"/>
      <c r="I111" s="238">
        <f t="shared" ref="I111:J111" si="36">I112+I113+I114+I115+I116+I117+I118+I119+I120</f>
        <v>2519</v>
      </c>
      <c r="J111" s="237">
        <f t="shared" si="36"/>
        <v>82521.899999999994</v>
      </c>
    </row>
    <row r="112" spans="1:10" s="32" customFormat="1" ht="47.25" x14ac:dyDescent="0.25">
      <c r="A112" s="26">
        <v>0</v>
      </c>
      <c r="D112" s="85"/>
      <c r="E112" s="85"/>
      <c r="F112" s="186"/>
      <c r="G112" s="192"/>
      <c r="H112" s="191" t="s">
        <v>142</v>
      </c>
      <c r="I112" s="214">
        <v>34</v>
      </c>
      <c r="J112" s="206">
        <v>549.6</v>
      </c>
    </row>
    <row r="113" spans="1:10" s="32" customFormat="1" ht="31.5" x14ac:dyDescent="0.25">
      <c r="A113" s="26">
        <v>0</v>
      </c>
      <c r="D113" s="85">
        <f>D111</f>
        <v>59</v>
      </c>
      <c r="E113" s="85"/>
      <c r="F113" s="186"/>
      <c r="G113" s="192"/>
      <c r="H113" s="191" t="s">
        <v>143</v>
      </c>
      <c r="I113" s="214">
        <v>130</v>
      </c>
      <c r="J113" s="206">
        <v>895</v>
      </c>
    </row>
    <row r="114" spans="1:10" s="32" customFormat="1" x14ac:dyDescent="0.25">
      <c r="A114" s="26">
        <v>0</v>
      </c>
      <c r="B114" s="33">
        <f>D114</f>
        <v>63</v>
      </c>
      <c r="C114" s="33"/>
      <c r="D114" s="86">
        <v>63</v>
      </c>
      <c r="E114" s="86"/>
      <c r="F114" s="186"/>
      <c r="G114" s="192"/>
      <c r="H114" s="191" t="s">
        <v>19</v>
      </c>
      <c r="I114" s="214">
        <v>39</v>
      </c>
      <c r="J114" s="206">
        <f>282.6+73.3</f>
        <v>355.90000000000003</v>
      </c>
    </row>
    <row r="115" spans="1:10" s="32" customFormat="1" x14ac:dyDescent="0.25">
      <c r="A115" s="26">
        <v>0</v>
      </c>
      <c r="D115" s="85">
        <f t="shared" ref="D115:D117" si="37">D114</f>
        <v>63</v>
      </c>
      <c r="E115" s="85"/>
      <c r="F115" s="186"/>
      <c r="G115" s="192"/>
      <c r="H115" s="191" t="s">
        <v>426</v>
      </c>
      <c r="I115" s="214">
        <v>239</v>
      </c>
      <c r="J115" s="206">
        <f>39029.1-6601.9</f>
        <v>32427.199999999997</v>
      </c>
    </row>
    <row r="116" spans="1:10" s="32" customFormat="1" x14ac:dyDescent="0.25">
      <c r="A116" s="26">
        <v>0</v>
      </c>
      <c r="D116" s="85">
        <f t="shared" si="37"/>
        <v>63</v>
      </c>
      <c r="E116" s="85"/>
      <c r="F116" s="186"/>
      <c r="G116" s="192"/>
      <c r="H116" s="191" t="s">
        <v>427</v>
      </c>
      <c r="I116" s="214">
        <v>36</v>
      </c>
      <c r="J116" s="206">
        <v>5817.5</v>
      </c>
    </row>
    <row r="117" spans="1:10" s="32" customFormat="1" x14ac:dyDescent="0.25">
      <c r="A117" s="26">
        <v>0</v>
      </c>
      <c r="D117" s="85">
        <f t="shared" si="37"/>
        <v>63</v>
      </c>
      <c r="E117" s="85"/>
      <c r="F117" s="186"/>
      <c r="G117" s="192"/>
      <c r="H117" s="191" t="s">
        <v>8</v>
      </c>
      <c r="I117" s="214">
        <f>1091-162</f>
        <v>929</v>
      </c>
      <c r="J117" s="206">
        <f>21833.4+6528.6-8616</f>
        <v>19746</v>
      </c>
    </row>
    <row r="118" spans="1:10" s="32" customFormat="1" x14ac:dyDescent="0.25">
      <c r="A118" s="26">
        <v>0</v>
      </c>
      <c r="B118" s="33">
        <f>D118</f>
        <v>65</v>
      </c>
      <c r="C118" s="33"/>
      <c r="D118" s="86">
        <v>65</v>
      </c>
      <c r="E118" s="86"/>
      <c r="F118" s="186"/>
      <c r="G118" s="192"/>
      <c r="H118" s="191" t="s">
        <v>7</v>
      </c>
      <c r="I118" s="214">
        <v>193</v>
      </c>
      <c r="J118" s="206">
        <v>4158.5</v>
      </c>
    </row>
    <row r="119" spans="1:10" s="32" customFormat="1" x14ac:dyDescent="0.25">
      <c r="A119" s="26">
        <v>0</v>
      </c>
      <c r="D119" s="85">
        <f t="shared" ref="D119:D122" si="38">D118</f>
        <v>65</v>
      </c>
      <c r="E119" s="85"/>
      <c r="F119" s="186"/>
      <c r="G119" s="192"/>
      <c r="H119" s="191" t="s">
        <v>9</v>
      </c>
      <c r="I119" s="214">
        <v>661</v>
      </c>
      <c r="J119" s="206">
        <v>13388.2</v>
      </c>
    </row>
    <row r="120" spans="1:10" s="32" customFormat="1" x14ac:dyDescent="0.25">
      <c r="A120" s="26">
        <v>0</v>
      </c>
      <c r="D120" s="85">
        <f t="shared" si="38"/>
        <v>65</v>
      </c>
      <c r="E120" s="85"/>
      <c r="F120" s="186"/>
      <c r="G120" s="192"/>
      <c r="H120" s="191" t="s">
        <v>4</v>
      </c>
      <c r="I120" s="214">
        <v>258</v>
      </c>
      <c r="J120" s="206">
        <v>5184</v>
      </c>
    </row>
    <row r="121" spans="1:10" s="32" customFormat="1" x14ac:dyDescent="0.25">
      <c r="A121" s="26">
        <v>0</v>
      </c>
      <c r="D121" s="86">
        <f>F121</f>
        <v>63</v>
      </c>
      <c r="E121" s="85"/>
      <c r="F121" s="187">
        <v>63</v>
      </c>
      <c r="G121" s="189" t="s">
        <v>160</v>
      </c>
      <c r="H121" s="198"/>
      <c r="I121" s="238">
        <f>I122</f>
        <v>559</v>
      </c>
      <c r="J121" s="237">
        <f>J122</f>
        <v>15549</v>
      </c>
    </row>
    <row r="122" spans="1:10" s="32" customFormat="1" x14ac:dyDescent="0.25">
      <c r="A122" s="26">
        <v>0</v>
      </c>
      <c r="D122" s="85">
        <f t="shared" si="38"/>
        <v>63</v>
      </c>
      <c r="E122" s="85"/>
      <c r="F122" s="186"/>
      <c r="G122" s="192"/>
      <c r="H122" s="191" t="s">
        <v>8</v>
      </c>
      <c r="I122" s="214">
        <f>597-38</f>
        <v>559</v>
      </c>
      <c r="J122" s="206">
        <v>15549</v>
      </c>
    </row>
    <row r="123" spans="1:10" s="32" customFormat="1" x14ac:dyDescent="0.25">
      <c r="A123" s="26">
        <v>0</v>
      </c>
      <c r="B123" s="33"/>
      <c r="C123" s="33"/>
      <c r="D123" s="86">
        <f>F123</f>
        <v>65</v>
      </c>
      <c r="E123" s="86"/>
      <c r="F123" s="187">
        <v>65</v>
      </c>
      <c r="G123" s="189" t="s">
        <v>161</v>
      </c>
      <c r="H123" s="198"/>
      <c r="I123" s="238">
        <f>SUM(I124:I126)</f>
        <v>892</v>
      </c>
      <c r="J123" s="237">
        <f>SUM(J124:J126)</f>
        <v>23824.1</v>
      </c>
    </row>
    <row r="124" spans="1:10" s="32" customFormat="1" ht="31.5" x14ac:dyDescent="0.25">
      <c r="A124" s="26">
        <v>0</v>
      </c>
      <c r="D124" s="85" t="e">
        <f>#REF!</f>
        <v>#REF!</v>
      </c>
      <c r="E124" s="85"/>
      <c r="F124" s="186"/>
      <c r="G124" s="192"/>
      <c r="H124" s="191" t="s">
        <v>143</v>
      </c>
      <c r="I124" s="214">
        <v>44</v>
      </c>
      <c r="J124" s="206">
        <v>435.9</v>
      </c>
    </row>
    <row r="125" spans="1:10" s="32" customFormat="1" x14ac:dyDescent="0.25">
      <c r="A125" s="26">
        <v>0</v>
      </c>
      <c r="D125" s="85" t="e">
        <f>#REF!</f>
        <v>#REF!</v>
      </c>
      <c r="E125" s="85"/>
      <c r="F125" s="186"/>
      <c r="G125" s="192"/>
      <c r="H125" s="191" t="s">
        <v>8</v>
      </c>
      <c r="I125" s="214">
        <v>832</v>
      </c>
      <c r="J125" s="206">
        <v>23077.1</v>
      </c>
    </row>
    <row r="126" spans="1:10" s="32" customFormat="1" x14ac:dyDescent="0.25">
      <c r="A126" s="26">
        <v>0</v>
      </c>
      <c r="D126" s="85" t="e">
        <f>#REF!</f>
        <v>#REF!</v>
      </c>
      <c r="E126" s="85"/>
      <c r="F126" s="186"/>
      <c r="G126" s="192"/>
      <c r="H126" s="191" t="s">
        <v>7</v>
      </c>
      <c r="I126" s="214">
        <v>16</v>
      </c>
      <c r="J126" s="206">
        <v>311.10000000000002</v>
      </c>
    </row>
    <row r="127" spans="1:10" s="32" customFormat="1" x14ac:dyDescent="0.25">
      <c r="A127" s="26">
        <v>0</v>
      </c>
      <c r="B127" s="33"/>
      <c r="C127" s="33"/>
      <c r="D127" s="86">
        <f>F127</f>
        <v>67</v>
      </c>
      <c r="E127" s="86"/>
      <c r="F127" s="187">
        <v>67</v>
      </c>
      <c r="G127" s="189" t="s">
        <v>162</v>
      </c>
      <c r="H127" s="198"/>
      <c r="I127" s="238">
        <f>SUM(I128:I130)</f>
        <v>629</v>
      </c>
      <c r="J127" s="237">
        <f>SUM(J128:J130)</f>
        <v>12373.1</v>
      </c>
    </row>
    <row r="128" spans="1:10" s="32" customFormat="1" ht="31.5" x14ac:dyDescent="0.25">
      <c r="A128" s="26">
        <v>0</v>
      </c>
      <c r="B128" s="33">
        <f>D128</f>
        <v>75</v>
      </c>
      <c r="C128" s="33"/>
      <c r="D128" s="86">
        <v>75</v>
      </c>
      <c r="E128" s="86"/>
      <c r="F128" s="186"/>
      <c r="G128" s="192"/>
      <c r="H128" s="191" t="s">
        <v>143</v>
      </c>
      <c r="I128" s="214">
        <v>8</v>
      </c>
      <c r="J128" s="206">
        <v>55.8</v>
      </c>
    </row>
    <row r="129" spans="1:10" s="32" customFormat="1" x14ac:dyDescent="0.25">
      <c r="A129" s="26">
        <v>0</v>
      </c>
      <c r="D129" s="85">
        <f t="shared" ref="D129:D133" si="39">D128</f>
        <v>75</v>
      </c>
      <c r="E129" s="85"/>
      <c r="F129" s="186"/>
      <c r="G129" s="192"/>
      <c r="H129" s="191" t="s">
        <v>8</v>
      </c>
      <c r="I129" s="214">
        <f>601-56-2</f>
        <v>543</v>
      </c>
      <c r="J129" s="206">
        <f>11851.1-1104.5-133+88.1</f>
        <v>10701.7</v>
      </c>
    </row>
    <row r="130" spans="1:10" s="32" customFormat="1" x14ac:dyDescent="0.25">
      <c r="A130" s="26">
        <v>0</v>
      </c>
      <c r="D130" s="85">
        <f t="shared" si="39"/>
        <v>75</v>
      </c>
      <c r="E130" s="85"/>
      <c r="F130" s="186"/>
      <c r="G130" s="192"/>
      <c r="H130" s="191" t="s">
        <v>4</v>
      </c>
      <c r="I130" s="214">
        <v>78</v>
      </c>
      <c r="J130" s="206">
        <v>1615.6</v>
      </c>
    </row>
    <row r="131" spans="1:10" s="32" customFormat="1" x14ac:dyDescent="0.25">
      <c r="A131" s="26">
        <v>0</v>
      </c>
      <c r="D131" s="86">
        <f>F131</f>
        <v>69</v>
      </c>
      <c r="E131" s="85"/>
      <c r="F131" s="187">
        <v>69</v>
      </c>
      <c r="G131" s="189" t="s">
        <v>96</v>
      </c>
      <c r="H131" s="198"/>
      <c r="I131" s="238">
        <f t="shared" ref="I131:J131" si="40">I132+I133</f>
        <v>1405</v>
      </c>
      <c r="J131" s="237">
        <f t="shared" si="40"/>
        <v>41728.400000000001</v>
      </c>
    </row>
    <row r="132" spans="1:10" s="32" customFormat="1" x14ac:dyDescent="0.25">
      <c r="A132" s="26">
        <v>0</v>
      </c>
      <c r="D132" s="85">
        <f t="shared" si="39"/>
        <v>69</v>
      </c>
      <c r="E132" s="85"/>
      <c r="F132" s="186"/>
      <c r="G132" s="192"/>
      <c r="H132" s="191" t="s">
        <v>8</v>
      </c>
      <c r="I132" s="214">
        <f>1400-40</f>
        <v>1360</v>
      </c>
      <c r="J132" s="206">
        <v>41311.9</v>
      </c>
    </row>
    <row r="133" spans="1:10" s="32" customFormat="1" ht="31.5" x14ac:dyDescent="0.25">
      <c r="A133" s="26">
        <v>0</v>
      </c>
      <c r="D133" s="85">
        <f t="shared" si="39"/>
        <v>69</v>
      </c>
      <c r="E133" s="85"/>
      <c r="F133" s="186"/>
      <c r="G133" s="192"/>
      <c r="H133" s="191" t="s">
        <v>143</v>
      </c>
      <c r="I133" s="214">
        <v>45</v>
      </c>
      <c r="J133" s="206">
        <v>416.5</v>
      </c>
    </row>
    <row r="134" spans="1:10" s="32" customFormat="1" x14ac:dyDescent="0.25">
      <c r="A134" s="26">
        <v>0</v>
      </c>
      <c r="D134" s="86">
        <f>F134</f>
        <v>232</v>
      </c>
      <c r="E134" s="85"/>
      <c r="F134" s="187">
        <v>232</v>
      </c>
      <c r="G134" s="189" t="s">
        <v>163</v>
      </c>
      <c r="H134" s="198"/>
      <c r="I134" s="238">
        <f t="shared" ref="I134:J134" si="41">I135</f>
        <v>1005</v>
      </c>
      <c r="J134" s="237">
        <f t="shared" si="41"/>
        <v>18740.8</v>
      </c>
    </row>
    <row r="135" spans="1:10" s="32" customFormat="1" x14ac:dyDescent="0.25">
      <c r="A135" s="26">
        <v>0</v>
      </c>
      <c r="D135" s="85">
        <f>D134</f>
        <v>232</v>
      </c>
      <c r="E135" s="85"/>
      <c r="F135" s="186"/>
      <c r="G135" s="192"/>
      <c r="H135" s="191" t="s">
        <v>8</v>
      </c>
      <c r="I135" s="214">
        <v>1005</v>
      </c>
      <c r="J135" s="206">
        <v>18740.8</v>
      </c>
    </row>
    <row r="136" spans="1:10" s="32" customFormat="1" x14ac:dyDescent="0.25">
      <c r="A136" s="26">
        <v>0</v>
      </c>
      <c r="D136" s="86">
        <f>F136</f>
        <v>75</v>
      </c>
      <c r="E136" s="85"/>
      <c r="F136" s="187">
        <v>75</v>
      </c>
      <c r="G136" s="189" t="s">
        <v>164</v>
      </c>
      <c r="H136" s="198"/>
      <c r="I136" s="238">
        <f t="shared" ref="I136:J136" si="42">I137+I138+I139+I140+I141+I142+I143+I144</f>
        <v>1025</v>
      </c>
      <c r="J136" s="237">
        <f t="shared" si="42"/>
        <v>24884.300000000003</v>
      </c>
    </row>
    <row r="137" spans="1:10" s="32" customFormat="1" ht="47.25" x14ac:dyDescent="0.25">
      <c r="A137" s="26">
        <v>0</v>
      </c>
      <c r="B137" s="33">
        <f>D137</f>
        <v>140</v>
      </c>
      <c r="C137" s="33"/>
      <c r="D137" s="86">
        <v>140</v>
      </c>
      <c r="E137" s="86"/>
      <c r="F137" s="186"/>
      <c r="G137" s="192"/>
      <c r="H137" s="191" t="s">
        <v>142</v>
      </c>
      <c r="I137" s="214">
        <v>89</v>
      </c>
      <c r="J137" s="206">
        <v>1519.7</v>
      </c>
    </row>
    <row r="138" spans="1:10" s="32" customFormat="1" ht="31.5" x14ac:dyDescent="0.25">
      <c r="A138" s="26">
        <v>0</v>
      </c>
      <c r="D138" s="85">
        <f t="shared" ref="D138:D139" si="43">D137</f>
        <v>140</v>
      </c>
      <c r="E138" s="85"/>
      <c r="F138" s="186"/>
      <c r="G138" s="192"/>
      <c r="H138" s="191" t="s">
        <v>143</v>
      </c>
      <c r="I138" s="214">
        <v>19</v>
      </c>
      <c r="J138" s="206">
        <v>169</v>
      </c>
    </row>
    <row r="139" spans="1:10" s="32" customFormat="1" x14ac:dyDescent="0.25">
      <c r="A139" s="26">
        <v>0</v>
      </c>
      <c r="D139" s="85">
        <f t="shared" si="43"/>
        <v>140</v>
      </c>
      <c r="E139" s="85"/>
      <c r="F139" s="186"/>
      <c r="G139" s="192"/>
      <c r="H139" s="191" t="s">
        <v>9</v>
      </c>
      <c r="I139" s="214">
        <v>127</v>
      </c>
      <c r="J139" s="206">
        <v>3187.4</v>
      </c>
    </row>
    <row r="140" spans="1:10" s="32" customFormat="1" x14ac:dyDescent="0.25">
      <c r="A140" s="26">
        <v>0</v>
      </c>
      <c r="B140" s="33">
        <f>D140</f>
        <v>203</v>
      </c>
      <c r="C140" s="33"/>
      <c r="D140" s="86">
        <v>203</v>
      </c>
      <c r="E140" s="86"/>
      <c r="F140" s="186"/>
      <c r="G140" s="192"/>
      <c r="H140" s="191" t="s">
        <v>7</v>
      </c>
      <c r="I140" s="214">
        <v>42</v>
      </c>
      <c r="J140" s="206">
        <v>958.1</v>
      </c>
    </row>
    <row r="141" spans="1:10" s="32" customFormat="1" x14ac:dyDescent="0.25">
      <c r="A141" s="26">
        <v>0</v>
      </c>
      <c r="D141" s="85">
        <f>D140</f>
        <v>203</v>
      </c>
      <c r="E141" s="85"/>
      <c r="F141" s="186"/>
      <c r="G141" s="192"/>
      <c r="H141" s="191" t="s">
        <v>8</v>
      </c>
      <c r="I141" s="214">
        <v>638</v>
      </c>
      <c r="J141" s="206">
        <v>15869.6</v>
      </c>
    </row>
    <row r="142" spans="1:10" s="32" customFormat="1" x14ac:dyDescent="0.25">
      <c r="A142" s="26">
        <v>0</v>
      </c>
      <c r="D142" s="85">
        <f t="shared" ref="D142:D143" si="44">D141</f>
        <v>203</v>
      </c>
      <c r="E142" s="85"/>
      <c r="F142" s="186"/>
      <c r="G142" s="192"/>
      <c r="H142" s="191" t="s">
        <v>4</v>
      </c>
      <c r="I142" s="214">
        <v>14</v>
      </c>
      <c r="J142" s="206">
        <v>362.3</v>
      </c>
    </row>
    <row r="143" spans="1:10" s="32" customFormat="1" x14ac:dyDescent="0.25">
      <c r="A143" s="26">
        <v>0</v>
      </c>
      <c r="D143" s="85">
        <f t="shared" si="44"/>
        <v>203</v>
      </c>
      <c r="E143" s="85"/>
      <c r="F143" s="186"/>
      <c r="G143" s="192"/>
      <c r="H143" s="191" t="s">
        <v>5</v>
      </c>
      <c r="I143" s="214">
        <v>59</v>
      </c>
      <c r="J143" s="206">
        <v>1797.7</v>
      </c>
    </row>
    <row r="144" spans="1:10" s="32" customFormat="1" x14ac:dyDescent="0.25">
      <c r="A144" s="26">
        <v>0</v>
      </c>
      <c r="B144" s="33">
        <f>D144</f>
        <v>79</v>
      </c>
      <c r="C144" s="33"/>
      <c r="D144" s="86">
        <v>79</v>
      </c>
      <c r="E144" s="86"/>
      <c r="F144" s="186"/>
      <c r="G144" s="192"/>
      <c r="H144" s="191" t="s">
        <v>13</v>
      </c>
      <c r="I144" s="214">
        <v>37</v>
      </c>
      <c r="J144" s="206">
        <v>1020.5</v>
      </c>
    </row>
    <row r="145" spans="1:10" s="32" customFormat="1" x14ac:dyDescent="0.25">
      <c r="A145" s="26">
        <v>0</v>
      </c>
      <c r="D145" s="86">
        <f>F145</f>
        <v>140</v>
      </c>
      <c r="E145" s="85"/>
      <c r="F145" s="187">
        <v>140</v>
      </c>
      <c r="G145" s="189" t="s">
        <v>165</v>
      </c>
      <c r="H145" s="198"/>
      <c r="I145" s="238">
        <f t="shared" ref="I145:J145" si="45">I146+I147</f>
        <v>1517</v>
      </c>
      <c r="J145" s="237">
        <f t="shared" si="45"/>
        <v>33622.1</v>
      </c>
    </row>
    <row r="146" spans="1:10" s="32" customFormat="1" x14ac:dyDescent="0.25">
      <c r="A146" s="26">
        <v>0</v>
      </c>
      <c r="D146" s="85">
        <f t="shared" ref="D146" si="46">D145</f>
        <v>140</v>
      </c>
      <c r="E146" s="85"/>
      <c r="F146" s="186"/>
      <c r="G146" s="192"/>
      <c r="H146" s="191" t="s">
        <v>7</v>
      </c>
      <c r="I146" s="214">
        <f>700-333</f>
        <v>367</v>
      </c>
      <c r="J146" s="206">
        <f>18858.8-9524.7</f>
        <v>9334.0999999999985</v>
      </c>
    </row>
    <row r="147" spans="1:10" s="32" customFormat="1" x14ac:dyDescent="0.25">
      <c r="A147" s="26">
        <v>0</v>
      </c>
      <c r="B147" s="33">
        <f>D147</f>
        <v>13</v>
      </c>
      <c r="C147" s="33"/>
      <c r="D147" s="86">
        <v>13</v>
      </c>
      <c r="E147" s="86"/>
      <c r="F147" s="186"/>
      <c r="G147" s="192"/>
      <c r="H147" s="191" t="s">
        <v>8</v>
      </c>
      <c r="I147" s="214">
        <v>1150</v>
      </c>
      <c r="J147" s="206">
        <v>24288</v>
      </c>
    </row>
    <row r="148" spans="1:10" s="32" customFormat="1" x14ac:dyDescent="0.25">
      <c r="A148" s="26">
        <v>0</v>
      </c>
      <c r="D148" s="86">
        <f>F148</f>
        <v>49</v>
      </c>
      <c r="E148" s="85"/>
      <c r="F148" s="187">
        <v>49</v>
      </c>
      <c r="G148" s="189" t="s">
        <v>100</v>
      </c>
      <c r="H148" s="198"/>
      <c r="I148" s="238">
        <f>I149</f>
        <v>700</v>
      </c>
      <c r="J148" s="237">
        <f>J149</f>
        <v>14167.2</v>
      </c>
    </row>
    <row r="149" spans="1:10" s="32" customFormat="1" x14ac:dyDescent="0.25">
      <c r="A149" s="26">
        <v>0</v>
      </c>
      <c r="D149" s="85">
        <f t="shared" ref="D149" si="47">D148</f>
        <v>49</v>
      </c>
      <c r="E149" s="85"/>
      <c r="F149" s="186"/>
      <c r="G149" s="192"/>
      <c r="H149" s="191" t="s">
        <v>8</v>
      </c>
      <c r="I149" s="214">
        <v>700</v>
      </c>
      <c r="J149" s="206">
        <v>14167.2</v>
      </c>
    </row>
    <row r="150" spans="1:10" s="32" customFormat="1" x14ac:dyDescent="0.25">
      <c r="A150" s="26">
        <v>0</v>
      </c>
      <c r="D150" s="86">
        <f>F150</f>
        <v>203</v>
      </c>
      <c r="E150" s="85"/>
      <c r="F150" s="187">
        <v>203</v>
      </c>
      <c r="G150" s="189" t="s">
        <v>103</v>
      </c>
      <c r="H150" s="198"/>
      <c r="I150" s="238">
        <f t="shared" ref="I150:J150" si="48">I151+I152+I153+I154</f>
        <v>625</v>
      </c>
      <c r="J150" s="237">
        <f t="shared" si="48"/>
        <v>16528.099999999999</v>
      </c>
    </row>
    <row r="151" spans="1:10" s="32" customFormat="1" ht="31.5" x14ac:dyDescent="0.25">
      <c r="A151" s="26">
        <v>0</v>
      </c>
      <c r="B151" s="33">
        <f>D151</f>
        <v>85</v>
      </c>
      <c r="C151" s="33"/>
      <c r="D151" s="86">
        <v>85</v>
      </c>
      <c r="E151" s="86"/>
      <c r="F151" s="186"/>
      <c r="G151" s="192"/>
      <c r="H151" s="191" t="s">
        <v>429</v>
      </c>
      <c r="I151" s="214">
        <v>30</v>
      </c>
      <c r="J151" s="206">
        <v>2231.2999999999997</v>
      </c>
    </row>
    <row r="152" spans="1:10" s="32" customFormat="1" x14ac:dyDescent="0.25">
      <c r="A152" s="26">
        <v>0</v>
      </c>
      <c r="D152" s="85">
        <f t="shared" ref="D152:D154" si="49">D151</f>
        <v>85</v>
      </c>
      <c r="E152" s="85"/>
      <c r="F152" s="186"/>
      <c r="G152" s="192"/>
      <c r="H152" s="191" t="s">
        <v>7</v>
      </c>
      <c r="I152" s="214">
        <v>72</v>
      </c>
      <c r="J152" s="206">
        <v>1207.5999999999999</v>
      </c>
    </row>
    <row r="153" spans="1:10" s="32" customFormat="1" x14ac:dyDescent="0.25">
      <c r="A153" s="26">
        <v>0</v>
      </c>
      <c r="D153" s="85">
        <f t="shared" si="49"/>
        <v>85</v>
      </c>
      <c r="E153" s="85"/>
      <c r="F153" s="186"/>
      <c r="G153" s="192"/>
      <c r="H153" s="191" t="s">
        <v>8</v>
      </c>
      <c r="I153" s="214">
        <v>305</v>
      </c>
      <c r="J153" s="206">
        <v>8284</v>
      </c>
    </row>
    <row r="154" spans="1:10" s="32" customFormat="1" x14ac:dyDescent="0.25">
      <c r="A154" s="26">
        <v>0</v>
      </c>
      <c r="D154" s="85">
        <f t="shared" si="49"/>
        <v>85</v>
      </c>
      <c r="E154" s="85"/>
      <c r="F154" s="186"/>
      <c r="G154" s="192"/>
      <c r="H154" s="191" t="s">
        <v>9</v>
      </c>
      <c r="I154" s="214">
        <v>218</v>
      </c>
      <c r="J154" s="206">
        <v>4805.2</v>
      </c>
    </row>
    <row r="155" spans="1:10" s="32" customFormat="1" x14ac:dyDescent="0.25">
      <c r="A155" s="26">
        <v>0</v>
      </c>
      <c r="B155" s="33"/>
      <c r="C155" s="33"/>
      <c r="D155" s="86">
        <f>F155</f>
        <v>79</v>
      </c>
      <c r="E155" s="86"/>
      <c r="F155" s="187">
        <v>79</v>
      </c>
      <c r="G155" s="189" t="s">
        <v>104</v>
      </c>
      <c r="H155" s="198"/>
      <c r="I155" s="238">
        <f>I156+I157</f>
        <v>437</v>
      </c>
      <c r="J155" s="237">
        <f>J156+J157</f>
        <v>8356.5</v>
      </c>
    </row>
    <row r="156" spans="1:10" s="32" customFormat="1" ht="31.5" x14ac:dyDescent="0.25">
      <c r="A156" s="26">
        <v>0</v>
      </c>
      <c r="B156" s="33">
        <f>D156</f>
        <v>447</v>
      </c>
      <c r="C156" s="33"/>
      <c r="D156" s="86">
        <v>447</v>
      </c>
      <c r="E156" s="86"/>
      <c r="F156" s="186"/>
      <c r="G156" s="192"/>
      <c r="H156" s="191" t="s">
        <v>143</v>
      </c>
      <c r="I156" s="214">
        <v>33</v>
      </c>
      <c r="J156" s="206">
        <v>225.4</v>
      </c>
    </row>
    <row r="157" spans="1:10" s="32" customFormat="1" x14ac:dyDescent="0.25">
      <c r="A157" s="26">
        <v>0</v>
      </c>
      <c r="D157" s="85">
        <f t="shared" ref="D157:D160" si="50">D156</f>
        <v>447</v>
      </c>
      <c r="E157" s="85"/>
      <c r="F157" s="186"/>
      <c r="G157" s="192"/>
      <c r="H157" s="191" t="s">
        <v>8</v>
      </c>
      <c r="I157" s="214">
        <v>404</v>
      </c>
      <c r="J157" s="206">
        <v>8131.1</v>
      </c>
    </row>
    <row r="158" spans="1:10" s="32" customFormat="1" x14ac:dyDescent="0.25">
      <c r="A158" s="26">
        <v>0</v>
      </c>
      <c r="D158" s="86">
        <f>F158</f>
        <v>13</v>
      </c>
      <c r="E158" s="85"/>
      <c r="F158" s="187">
        <v>13</v>
      </c>
      <c r="G158" s="189" t="s">
        <v>166</v>
      </c>
      <c r="H158" s="198"/>
      <c r="I158" s="238">
        <f t="shared" ref="I158:J158" si="51">I159+I160+I161</f>
        <v>914</v>
      </c>
      <c r="J158" s="237">
        <f t="shared" si="51"/>
        <v>18076.099999999999</v>
      </c>
    </row>
    <row r="159" spans="1:10" s="32" customFormat="1" x14ac:dyDescent="0.25">
      <c r="A159" s="26">
        <v>0</v>
      </c>
      <c r="D159" s="85">
        <f t="shared" si="50"/>
        <v>13</v>
      </c>
      <c r="E159" s="85"/>
      <c r="F159" s="186"/>
      <c r="G159" s="192"/>
      <c r="H159" s="191" t="s">
        <v>9</v>
      </c>
      <c r="I159" s="214">
        <v>285</v>
      </c>
      <c r="J159" s="206">
        <v>9617</v>
      </c>
    </row>
    <row r="160" spans="1:10" s="32" customFormat="1" x14ac:dyDescent="0.25">
      <c r="A160" s="26">
        <v>0</v>
      </c>
      <c r="D160" s="85">
        <f t="shared" si="50"/>
        <v>13</v>
      </c>
      <c r="E160" s="85"/>
      <c r="F160" s="186"/>
      <c r="G160" s="192"/>
      <c r="H160" s="191" t="s">
        <v>7</v>
      </c>
      <c r="I160" s="214">
        <f>200+139</f>
        <v>339</v>
      </c>
      <c r="J160" s="206">
        <f>2190.4+2767.7</f>
        <v>4958.1000000000004</v>
      </c>
    </row>
    <row r="161" spans="1:10" s="32" customFormat="1" x14ac:dyDescent="0.25">
      <c r="A161" s="26">
        <v>0</v>
      </c>
      <c r="B161" s="33">
        <f>D161</f>
        <v>419</v>
      </c>
      <c r="C161" s="33"/>
      <c r="D161" s="86">
        <v>419</v>
      </c>
      <c r="E161" s="86"/>
      <c r="F161" s="186"/>
      <c r="G161" s="192"/>
      <c r="H161" s="191" t="s">
        <v>8</v>
      </c>
      <c r="I161" s="214">
        <v>290</v>
      </c>
      <c r="J161" s="206">
        <v>3501</v>
      </c>
    </row>
    <row r="162" spans="1:10" s="32" customFormat="1" x14ac:dyDescent="0.25">
      <c r="A162" s="26">
        <v>0</v>
      </c>
      <c r="D162" s="86">
        <f>F162</f>
        <v>81</v>
      </c>
      <c r="E162" s="85"/>
      <c r="F162" s="187">
        <v>81</v>
      </c>
      <c r="G162" s="189" t="s">
        <v>107</v>
      </c>
      <c r="H162" s="198"/>
      <c r="I162" s="238">
        <f t="shared" ref="I162:J162" si="52">I163+I164</f>
        <v>295</v>
      </c>
      <c r="J162" s="237">
        <f t="shared" si="52"/>
        <v>10086.1</v>
      </c>
    </row>
    <row r="163" spans="1:10" s="32" customFormat="1" ht="31.5" x14ac:dyDescent="0.25">
      <c r="A163" s="26">
        <v>0</v>
      </c>
      <c r="B163" s="33">
        <f>D163</f>
        <v>420</v>
      </c>
      <c r="C163" s="33"/>
      <c r="D163" s="86">
        <v>420</v>
      </c>
      <c r="E163" s="86"/>
      <c r="F163" s="186"/>
      <c r="G163" s="192"/>
      <c r="H163" s="191" t="s">
        <v>429</v>
      </c>
      <c r="I163" s="214">
        <v>18</v>
      </c>
      <c r="J163" s="206">
        <v>1979.4</v>
      </c>
    </row>
    <row r="164" spans="1:10" s="32" customFormat="1" x14ac:dyDescent="0.25">
      <c r="A164" s="26">
        <v>0</v>
      </c>
      <c r="D164" s="85">
        <f>D163</f>
        <v>420</v>
      </c>
      <c r="E164" s="85"/>
      <c r="F164" s="186"/>
      <c r="G164" s="192"/>
      <c r="H164" s="191" t="s">
        <v>8</v>
      </c>
      <c r="I164" s="214">
        <f>317-40</f>
        <v>277</v>
      </c>
      <c r="J164" s="206">
        <v>8106.7</v>
      </c>
    </row>
    <row r="165" spans="1:10" s="32" customFormat="1" x14ac:dyDescent="0.25">
      <c r="A165" s="26">
        <v>0</v>
      </c>
      <c r="B165" s="33"/>
      <c r="C165" s="33"/>
      <c r="D165" s="86">
        <f>F165</f>
        <v>85</v>
      </c>
      <c r="E165" s="86"/>
      <c r="F165" s="187">
        <v>85</v>
      </c>
      <c r="G165" s="189" t="s">
        <v>110</v>
      </c>
      <c r="H165" s="198"/>
      <c r="I165" s="238">
        <f t="shared" ref="I165:J165" si="53">I166+I167+I168</f>
        <v>868</v>
      </c>
      <c r="J165" s="237">
        <f t="shared" si="53"/>
        <v>24905.4</v>
      </c>
    </row>
    <row r="166" spans="1:10" s="32" customFormat="1" ht="47.25" x14ac:dyDescent="0.25">
      <c r="A166" s="26">
        <v>0</v>
      </c>
      <c r="D166" s="85">
        <f t="shared" ref="D166" si="54">D165</f>
        <v>85</v>
      </c>
      <c r="E166" s="85"/>
      <c r="F166" s="186"/>
      <c r="G166" s="192"/>
      <c r="H166" s="191" t="s">
        <v>142</v>
      </c>
      <c r="I166" s="214">
        <v>65</v>
      </c>
      <c r="J166" s="206">
        <v>5081.9000000000005</v>
      </c>
    </row>
    <row r="167" spans="1:10" s="32" customFormat="1" x14ac:dyDescent="0.25">
      <c r="A167" s="26">
        <v>0</v>
      </c>
      <c r="B167" s="33">
        <f>D167</f>
        <v>431</v>
      </c>
      <c r="C167" s="33"/>
      <c r="D167" s="86">
        <v>431</v>
      </c>
      <c r="E167" s="86"/>
      <c r="F167" s="186"/>
      <c r="G167" s="192"/>
      <c r="H167" s="191" t="s">
        <v>9</v>
      </c>
      <c r="I167" s="214">
        <v>399</v>
      </c>
      <c r="J167" s="206">
        <v>7610.3</v>
      </c>
    </row>
    <row r="168" spans="1:10" s="32" customFormat="1" x14ac:dyDescent="0.25">
      <c r="A168" s="26">
        <v>0</v>
      </c>
      <c r="D168" s="85">
        <f t="shared" ref="D168:D170" si="55">D167</f>
        <v>431</v>
      </c>
      <c r="E168" s="85"/>
      <c r="F168" s="186"/>
      <c r="G168" s="192"/>
      <c r="H168" s="191" t="s">
        <v>8</v>
      </c>
      <c r="I168" s="214">
        <v>404</v>
      </c>
      <c r="J168" s="206">
        <v>12213.2</v>
      </c>
    </row>
    <row r="169" spans="1:10" s="32" customFormat="1" x14ac:dyDescent="0.25">
      <c r="A169" s="26">
        <v>0</v>
      </c>
      <c r="D169" s="86">
        <f>F169</f>
        <v>26</v>
      </c>
      <c r="E169" s="85"/>
      <c r="F169" s="187">
        <v>26</v>
      </c>
      <c r="G169" s="189" t="s">
        <v>167</v>
      </c>
      <c r="H169" s="198"/>
      <c r="I169" s="238">
        <f t="shared" ref="I169:J169" si="56">I170</f>
        <v>294</v>
      </c>
      <c r="J169" s="237">
        <f t="shared" si="56"/>
        <v>8567.7999999999993</v>
      </c>
    </row>
    <row r="170" spans="1:10" s="32" customFormat="1" x14ac:dyDescent="0.25">
      <c r="A170" s="26">
        <v>0</v>
      </c>
      <c r="D170" s="85">
        <f t="shared" si="55"/>
        <v>26</v>
      </c>
      <c r="E170" s="85"/>
      <c r="F170" s="186"/>
      <c r="G170" s="192"/>
      <c r="H170" s="191" t="s">
        <v>37</v>
      </c>
      <c r="I170" s="214">
        <f>263+31</f>
        <v>294</v>
      </c>
      <c r="J170" s="206">
        <f>7567.8+1000</f>
        <v>8567.7999999999993</v>
      </c>
    </row>
    <row r="171" spans="1:10" s="32" customFormat="1" x14ac:dyDescent="0.25">
      <c r="A171" s="26">
        <v>0</v>
      </c>
      <c r="D171" s="86">
        <f>F171</f>
        <v>465</v>
      </c>
      <c r="E171" s="85"/>
      <c r="F171" s="187">
        <v>465</v>
      </c>
      <c r="G171" s="189" t="s">
        <v>175</v>
      </c>
      <c r="H171" s="198"/>
      <c r="I171" s="238">
        <f t="shared" ref="I171:J171" si="57">I172</f>
        <v>380</v>
      </c>
      <c r="J171" s="237">
        <f t="shared" si="57"/>
        <v>33488.1</v>
      </c>
    </row>
    <row r="172" spans="1:10" s="32" customFormat="1" x14ac:dyDescent="0.25">
      <c r="A172" s="26">
        <v>0</v>
      </c>
      <c r="B172" s="33">
        <f>D172</f>
        <v>425</v>
      </c>
      <c r="C172" s="33"/>
      <c r="D172" s="86">
        <v>425</v>
      </c>
      <c r="E172" s="86"/>
      <c r="F172" s="188"/>
      <c r="G172" s="194"/>
      <c r="H172" s="191" t="s">
        <v>19</v>
      </c>
      <c r="I172" s="214">
        <v>380</v>
      </c>
      <c r="J172" s="206">
        <v>33488.1</v>
      </c>
    </row>
    <row r="173" spans="1:10" s="32" customFormat="1" x14ac:dyDescent="0.25">
      <c r="A173" s="26">
        <v>0</v>
      </c>
      <c r="C173" s="32">
        <f>D173</f>
        <v>466</v>
      </c>
      <c r="D173" s="86">
        <f>F173</f>
        <v>466</v>
      </c>
      <c r="E173" s="85"/>
      <c r="F173" s="187">
        <v>466</v>
      </c>
      <c r="G173" s="189" t="s">
        <v>86</v>
      </c>
      <c r="H173" s="198"/>
      <c r="I173" s="238">
        <f t="shared" ref="I173:J173" si="58">I174</f>
        <v>340</v>
      </c>
      <c r="J173" s="237">
        <f t="shared" si="58"/>
        <v>13077.8</v>
      </c>
    </row>
    <row r="174" spans="1:10" s="32" customFormat="1" x14ac:dyDescent="0.25">
      <c r="A174" s="26">
        <v>0</v>
      </c>
      <c r="B174" s="33">
        <f>D174</f>
        <v>406</v>
      </c>
      <c r="C174" s="33"/>
      <c r="D174" s="86">
        <v>406</v>
      </c>
      <c r="E174" s="86"/>
      <c r="F174" s="186"/>
      <c r="G174" s="192"/>
      <c r="H174" s="191" t="s">
        <v>16</v>
      </c>
      <c r="I174" s="214">
        <v>340</v>
      </c>
      <c r="J174" s="206">
        <v>13077.8</v>
      </c>
    </row>
    <row r="175" spans="1:10" s="32" customFormat="1" x14ac:dyDescent="0.25">
      <c r="A175" s="26">
        <v>0</v>
      </c>
      <c r="B175" s="33"/>
      <c r="C175" s="33"/>
      <c r="D175" s="86">
        <f>F175</f>
        <v>354</v>
      </c>
      <c r="E175" s="86"/>
      <c r="F175" s="187">
        <v>354</v>
      </c>
      <c r="G175" s="189" t="s">
        <v>176</v>
      </c>
      <c r="H175" s="198"/>
      <c r="I175" s="238">
        <f>I176+I177+I179+I180+I181+I178</f>
        <v>1729</v>
      </c>
      <c r="J175" s="237">
        <f>J176+J177+J179+J180+J181+J178</f>
        <v>36010.6</v>
      </c>
    </row>
    <row r="176" spans="1:10" s="32" customFormat="1" ht="47.25" x14ac:dyDescent="0.25">
      <c r="A176" s="26">
        <v>0</v>
      </c>
      <c r="D176" s="85">
        <f>D175</f>
        <v>354</v>
      </c>
      <c r="E176" s="85"/>
      <c r="F176" s="187"/>
      <c r="G176" s="195"/>
      <c r="H176" s="191" t="s">
        <v>142</v>
      </c>
      <c r="I176" s="214">
        <v>250</v>
      </c>
      <c r="J176" s="206">
        <v>3637.8</v>
      </c>
    </row>
    <row r="177" spans="1:15" s="32" customFormat="1" ht="31.5" x14ac:dyDescent="0.25">
      <c r="A177" s="26">
        <v>0</v>
      </c>
      <c r="D177" s="85">
        <f t="shared" ref="D177" si="59">D176</f>
        <v>354</v>
      </c>
      <c r="E177" s="85"/>
      <c r="F177" s="187"/>
      <c r="G177" s="195"/>
      <c r="H177" s="191" t="s">
        <v>143</v>
      </c>
      <c r="I177" s="214">
        <v>37</v>
      </c>
      <c r="J177" s="206">
        <v>252.9</v>
      </c>
    </row>
    <row r="178" spans="1:15" s="32" customFormat="1" x14ac:dyDescent="0.25">
      <c r="A178" s="26"/>
      <c r="D178" s="85"/>
      <c r="E178" s="85"/>
      <c r="F178" s="187"/>
      <c r="G178" s="195"/>
      <c r="H178" s="191" t="s">
        <v>19</v>
      </c>
      <c r="I178" s="214">
        <v>50</v>
      </c>
      <c r="J178" s="206">
        <f>2538+264</f>
        <v>2802</v>
      </c>
    </row>
    <row r="179" spans="1:15" s="32" customFormat="1" x14ac:dyDescent="0.25">
      <c r="A179" s="26">
        <v>0</v>
      </c>
      <c r="B179" s="33">
        <f>D179</f>
        <v>450</v>
      </c>
      <c r="C179" s="33"/>
      <c r="D179" s="86">
        <v>450</v>
      </c>
      <c r="E179" s="86"/>
      <c r="F179" s="187"/>
      <c r="G179" s="195"/>
      <c r="H179" s="191" t="s">
        <v>37</v>
      </c>
      <c r="I179" s="214">
        <v>390</v>
      </c>
      <c r="J179" s="206">
        <v>8679.1</v>
      </c>
    </row>
    <row r="180" spans="1:15" s="32" customFormat="1" x14ac:dyDescent="0.25">
      <c r="A180" s="26">
        <v>0</v>
      </c>
      <c r="D180" s="85" t="e">
        <f>#REF!</f>
        <v>#REF!</v>
      </c>
      <c r="E180" s="85"/>
      <c r="F180" s="187"/>
      <c r="G180" s="195"/>
      <c r="H180" s="191" t="s">
        <v>8</v>
      </c>
      <c r="I180" s="214">
        <v>612</v>
      </c>
      <c r="J180" s="206">
        <v>12711.6</v>
      </c>
    </row>
    <row r="181" spans="1:15" s="34" customFormat="1" x14ac:dyDescent="0.25">
      <c r="A181" s="26">
        <v>0</v>
      </c>
      <c r="B181" s="32"/>
      <c r="C181" s="32"/>
      <c r="D181" s="85" t="e">
        <f t="shared" ref="D181" si="60">D180</f>
        <v>#REF!</v>
      </c>
      <c r="E181" s="85"/>
      <c r="F181" s="187"/>
      <c r="G181" s="195"/>
      <c r="H181" s="191" t="s">
        <v>4</v>
      </c>
      <c r="I181" s="214">
        <v>390</v>
      </c>
      <c r="J181" s="206">
        <v>7927.2</v>
      </c>
    </row>
    <row r="182" spans="1:15" s="27" customFormat="1" x14ac:dyDescent="0.25">
      <c r="A182" s="26">
        <v>0</v>
      </c>
      <c r="B182" s="32"/>
      <c r="C182" s="32"/>
      <c r="D182" s="86">
        <f>F182</f>
        <v>463</v>
      </c>
      <c r="E182" s="85"/>
      <c r="F182" s="187">
        <v>463</v>
      </c>
      <c r="G182" s="189" t="s">
        <v>237</v>
      </c>
      <c r="H182" s="198"/>
      <c r="I182" s="238">
        <f>I183</f>
        <v>700</v>
      </c>
      <c r="J182" s="237">
        <f>J183</f>
        <v>26721</v>
      </c>
    </row>
    <row r="183" spans="1:15" x14ac:dyDescent="0.25">
      <c r="A183" s="26">
        <v>0</v>
      </c>
      <c r="B183" s="32"/>
      <c r="C183" s="32"/>
      <c r="D183" s="85" t="e">
        <f>#REF!</f>
        <v>#REF!</v>
      </c>
      <c r="E183" s="85"/>
      <c r="F183" s="187"/>
      <c r="G183" s="195"/>
      <c r="H183" s="196" t="s">
        <v>201</v>
      </c>
      <c r="I183" s="214">
        <f>350+350</f>
        <v>700</v>
      </c>
      <c r="J183" s="206">
        <f>13284.5+13436.5</f>
        <v>26721</v>
      </c>
      <c r="O183" s="26"/>
    </row>
    <row r="184" spans="1:15" x14ac:dyDescent="0.25">
      <c r="A184" s="26">
        <v>0</v>
      </c>
      <c r="B184" s="33"/>
      <c r="C184" s="33"/>
      <c r="D184" s="86">
        <f>F184</f>
        <v>431</v>
      </c>
      <c r="E184" s="86"/>
      <c r="F184" s="187">
        <v>431</v>
      </c>
      <c r="G184" s="189" t="s">
        <v>168</v>
      </c>
      <c r="H184" s="198"/>
      <c r="I184" s="238">
        <f>I185</f>
        <v>58</v>
      </c>
      <c r="J184" s="237">
        <f>J185</f>
        <v>2776.9</v>
      </c>
      <c r="O184" s="26"/>
    </row>
    <row r="185" spans="1:15" ht="31.5" x14ac:dyDescent="0.25">
      <c r="A185" s="26">
        <v>0</v>
      </c>
      <c r="B185" s="33">
        <f>D185</f>
        <v>173</v>
      </c>
      <c r="C185" s="33"/>
      <c r="D185" s="86">
        <v>173</v>
      </c>
      <c r="E185" s="86"/>
      <c r="F185" s="186"/>
      <c r="G185" s="192"/>
      <c r="H185" s="263" t="s">
        <v>141</v>
      </c>
      <c r="I185" s="215">
        <v>58</v>
      </c>
      <c r="J185" s="213">
        <v>2776.9</v>
      </c>
      <c r="O185" s="26"/>
    </row>
    <row r="186" spans="1:15" x14ac:dyDescent="0.25">
      <c r="A186" s="26">
        <v>0</v>
      </c>
      <c r="B186" s="33"/>
      <c r="C186" s="33"/>
      <c r="D186" s="86">
        <f>F186</f>
        <v>425</v>
      </c>
      <c r="E186" s="86"/>
      <c r="F186" s="187">
        <v>425</v>
      </c>
      <c r="G186" s="265" t="s">
        <v>169</v>
      </c>
      <c r="H186" s="266"/>
      <c r="I186" s="262">
        <f t="shared" ref="I186:J186" si="61">I187</f>
        <v>44</v>
      </c>
      <c r="J186" s="237">
        <f t="shared" si="61"/>
        <v>9931.2999999999993</v>
      </c>
      <c r="O186" s="26"/>
    </row>
    <row r="187" spans="1:15" x14ac:dyDescent="0.25">
      <c r="A187" s="26">
        <v>0</v>
      </c>
      <c r="B187" s="32"/>
      <c r="C187" s="32"/>
      <c r="D187" s="85">
        <f t="shared" ref="D187" si="62">D186</f>
        <v>425</v>
      </c>
      <c r="E187" s="85"/>
      <c r="F187" s="186"/>
      <c r="G187" s="267"/>
      <c r="H187" s="191" t="s">
        <v>19</v>
      </c>
      <c r="I187" s="264">
        <f>47-3</f>
        <v>44</v>
      </c>
      <c r="J187" s="206">
        <f>9276.5+654.8</f>
        <v>9931.2999999999993</v>
      </c>
      <c r="O187" s="26"/>
    </row>
    <row r="188" spans="1:15" x14ac:dyDescent="0.25">
      <c r="A188" s="26">
        <v>0</v>
      </c>
      <c r="B188" s="32"/>
      <c r="C188" s="32"/>
      <c r="D188" s="86">
        <f>F188</f>
        <v>387</v>
      </c>
      <c r="E188" s="85"/>
      <c r="F188" s="187">
        <v>387</v>
      </c>
      <c r="G188" s="189" t="s">
        <v>68</v>
      </c>
      <c r="H188" s="198"/>
      <c r="I188" s="238">
        <f>I189</f>
        <v>764</v>
      </c>
      <c r="J188" s="237">
        <f>J189</f>
        <v>34995.1</v>
      </c>
      <c r="O188" s="26"/>
    </row>
    <row r="189" spans="1:15" ht="31.5" customHeight="1" x14ac:dyDescent="0.25">
      <c r="A189" s="26">
        <v>0</v>
      </c>
      <c r="B189" s="32"/>
      <c r="C189" s="32"/>
      <c r="D189" s="85" t="e">
        <f>#REF!</f>
        <v>#REF!</v>
      </c>
      <c r="E189" s="85"/>
      <c r="F189" s="186"/>
      <c r="G189" s="192"/>
      <c r="H189" s="191" t="s">
        <v>25</v>
      </c>
      <c r="I189" s="214">
        <v>764</v>
      </c>
      <c r="J189" s="206">
        <v>34995.1</v>
      </c>
      <c r="O189" s="26"/>
    </row>
    <row r="190" spans="1:15" x14ac:dyDescent="0.25">
      <c r="A190" s="26"/>
      <c r="B190" s="32"/>
      <c r="C190" s="32"/>
      <c r="D190" s="86">
        <f>F190</f>
        <v>450</v>
      </c>
      <c r="E190" s="85"/>
      <c r="F190" s="187">
        <v>450</v>
      </c>
      <c r="G190" s="189" t="s">
        <v>170</v>
      </c>
      <c r="H190" s="198"/>
      <c r="I190" s="238">
        <f>I191</f>
        <v>87</v>
      </c>
      <c r="J190" s="237">
        <f>J191</f>
        <v>4128.5</v>
      </c>
      <c r="O190" s="26"/>
    </row>
    <row r="191" spans="1:15" ht="31.5" customHeight="1" x14ac:dyDescent="0.25">
      <c r="A191" s="26"/>
      <c r="B191" s="32"/>
      <c r="C191" s="32"/>
      <c r="D191" s="85"/>
      <c r="E191" s="85"/>
      <c r="F191" s="186"/>
      <c r="G191" s="192"/>
      <c r="H191" s="263" t="s">
        <v>141</v>
      </c>
      <c r="I191" s="214">
        <v>87</v>
      </c>
      <c r="J191" s="206">
        <v>4128.5</v>
      </c>
      <c r="O191" s="26"/>
    </row>
    <row r="192" spans="1:15" ht="31.5" customHeight="1" x14ac:dyDescent="0.25">
      <c r="A192" s="26"/>
      <c r="B192" s="32"/>
      <c r="C192" s="32"/>
      <c r="D192" s="86">
        <f>F192</f>
        <v>294</v>
      </c>
      <c r="E192" s="85"/>
      <c r="F192" s="187">
        <v>294</v>
      </c>
      <c r="G192" s="189" t="s">
        <v>171</v>
      </c>
      <c r="H192" s="198"/>
      <c r="I192" s="238">
        <f t="shared" ref="I192:J192" si="63">I193</f>
        <v>32</v>
      </c>
      <c r="J192" s="237">
        <f t="shared" si="63"/>
        <v>791.9</v>
      </c>
      <c r="O192" s="26"/>
    </row>
    <row r="193" spans="1:15" ht="18" customHeight="1" x14ac:dyDescent="0.25">
      <c r="A193" s="26"/>
      <c r="B193" s="32"/>
      <c r="C193" s="32"/>
      <c r="D193" s="85"/>
      <c r="E193" s="85"/>
      <c r="F193" s="186"/>
      <c r="G193" s="192"/>
      <c r="H193" s="191" t="s">
        <v>8</v>
      </c>
      <c r="I193" s="214">
        <f>17+15</f>
        <v>32</v>
      </c>
      <c r="J193" s="206">
        <f>420.7+371.2</f>
        <v>791.9</v>
      </c>
      <c r="O193" s="26"/>
    </row>
    <row r="194" spans="1:15" ht="22.5" customHeight="1" x14ac:dyDescent="0.25">
      <c r="A194" s="26"/>
      <c r="B194" s="32"/>
      <c r="C194" s="32"/>
      <c r="D194" s="86">
        <f>F194</f>
        <v>355</v>
      </c>
      <c r="E194" s="85"/>
      <c r="F194" s="187">
        <v>355</v>
      </c>
      <c r="G194" s="189" t="s">
        <v>172</v>
      </c>
      <c r="H194" s="198"/>
      <c r="I194" s="238">
        <f>I195</f>
        <v>67</v>
      </c>
      <c r="J194" s="237">
        <f>J195</f>
        <v>2962.5</v>
      </c>
      <c r="O194" s="26"/>
    </row>
    <row r="195" spans="1:15" ht="31.5" customHeight="1" x14ac:dyDescent="0.25">
      <c r="A195" s="26"/>
      <c r="B195" s="32"/>
      <c r="C195" s="32"/>
      <c r="D195" s="85"/>
      <c r="E195" s="85"/>
      <c r="F195" s="186"/>
      <c r="G195" s="192"/>
      <c r="H195" s="263" t="s">
        <v>141</v>
      </c>
      <c r="I195" s="214">
        <v>67</v>
      </c>
      <c r="J195" s="206">
        <v>2962.5</v>
      </c>
      <c r="O195" s="26"/>
    </row>
    <row r="196" spans="1:15" ht="21" customHeight="1" x14ac:dyDescent="0.25">
      <c r="A196" s="26"/>
      <c r="B196" s="32"/>
      <c r="C196" s="32"/>
      <c r="D196" s="86">
        <f>F196</f>
        <v>205</v>
      </c>
      <c r="E196" s="85"/>
      <c r="F196" s="187">
        <v>205</v>
      </c>
      <c r="G196" s="195" t="s">
        <v>173</v>
      </c>
      <c r="H196" s="198"/>
      <c r="I196" s="238">
        <f>I197</f>
        <v>1069</v>
      </c>
      <c r="J196" s="237">
        <f>J197</f>
        <v>23371.8</v>
      </c>
      <c r="O196" s="26"/>
    </row>
    <row r="197" spans="1:15" ht="21" customHeight="1" x14ac:dyDescent="0.25">
      <c r="A197" s="26">
        <v>0</v>
      </c>
      <c r="B197" s="33">
        <v>1000</v>
      </c>
      <c r="C197" s="33"/>
      <c r="D197" s="86"/>
      <c r="E197" s="86"/>
      <c r="F197" s="187"/>
      <c r="G197" s="192"/>
      <c r="H197" s="191" t="s">
        <v>148</v>
      </c>
      <c r="I197" s="215">
        <v>1069</v>
      </c>
      <c r="J197" s="213">
        <v>23371.8</v>
      </c>
      <c r="O197" s="26"/>
    </row>
    <row r="198" spans="1:15" ht="18.75" customHeight="1" x14ac:dyDescent="0.25">
      <c r="A198" s="26">
        <v>0</v>
      </c>
      <c r="B198" s="34"/>
      <c r="C198" s="34"/>
      <c r="D198" s="86">
        <f>F198</f>
        <v>260</v>
      </c>
      <c r="E198" s="202"/>
      <c r="F198" s="187">
        <v>260</v>
      </c>
      <c r="G198" s="189" t="s">
        <v>174</v>
      </c>
      <c r="H198" s="198"/>
      <c r="I198" s="238">
        <f t="shared" ref="I198" si="64">I199</f>
        <v>60</v>
      </c>
      <c r="J198" s="237">
        <f>J199</f>
        <v>1236.5</v>
      </c>
      <c r="O198" s="26"/>
    </row>
    <row r="199" spans="1:15" s="27" customFormat="1" x14ac:dyDescent="0.25">
      <c r="A199" s="26">
        <v>0</v>
      </c>
      <c r="B199" s="38"/>
      <c r="C199" s="38"/>
      <c r="D199" s="203"/>
      <c r="E199" s="203"/>
      <c r="F199" s="187"/>
      <c r="G199" s="192"/>
      <c r="H199" s="191" t="s">
        <v>4</v>
      </c>
      <c r="I199" s="41">
        <f>50+10</f>
        <v>60</v>
      </c>
      <c r="J199" s="213">
        <v>1236.5</v>
      </c>
    </row>
    <row r="200" spans="1:15" s="40" customFormat="1" ht="15.75" customHeight="1" x14ac:dyDescent="0.25">
      <c r="A200" s="26">
        <v>0</v>
      </c>
      <c r="B200" s="22"/>
      <c r="C200" s="22"/>
      <c r="D200" s="86">
        <f>F200</f>
        <v>414</v>
      </c>
      <c r="E200" s="204"/>
      <c r="F200" s="187">
        <v>414</v>
      </c>
      <c r="G200" s="189" t="s">
        <v>177</v>
      </c>
      <c r="H200" s="198"/>
      <c r="I200" s="238">
        <f>I201</f>
        <v>150</v>
      </c>
      <c r="J200" s="237">
        <f>J201</f>
        <v>2725.1</v>
      </c>
    </row>
    <row r="201" spans="1:15" s="40" customFormat="1" x14ac:dyDescent="0.25">
      <c r="A201" s="26">
        <v>0</v>
      </c>
      <c r="B201" s="22"/>
      <c r="C201" s="22"/>
      <c r="D201" s="116"/>
      <c r="E201" s="204"/>
      <c r="F201" s="187"/>
      <c r="G201" s="192"/>
      <c r="H201" s="191" t="s">
        <v>21</v>
      </c>
      <c r="I201" s="216">
        <v>150</v>
      </c>
      <c r="J201" s="216">
        <v>2725.1</v>
      </c>
    </row>
    <row r="202" spans="1:15" s="40" customFormat="1" ht="31.5" customHeight="1" x14ac:dyDescent="0.25">
      <c r="A202" s="26">
        <v>0</v>
      </c>
      <c r="B202" s="22"/>
      <c r="C202" s="22"/>
      <c r="D202" s="86">
        <f>F202</f>
        <v>429</v>
      </c>
      <c r="E202" s="204"/>
      <c r="F202" s="187">
        <v>429</v>
      </c>
      <c r="G202" s="207" t="s">
        <v>178</v>
      </c>
      <c r="H202" s="198"/>
      <c r="I202" s="238">
        <f t="shared" ref="I202:J202" si="65">I203</f>
        <v>5</v>
      </c>
      <c r="J202" s="237">
        <f t="shared" si="65"/>
        <v>66.5</v>
      </c>
    </row>
    <row r="203" spans="1:15" s="40" customFormat="1" ht="15.75" customHeight="1" x14ac:dyDescent="0.25">
      <c r="A203" s="26">
        <v>0</v>
      </c>
      <c r="B203" s="22"/>
      <c r="C203" s="22"/>
      <c r="D203" s="116"/>
      <c r="E203" s="204"/>
      <c r="F203" s="187"/>
      <c r="G203" s="208"/>
      <c r="H203" s="191" t="s">
        <v>430</v>
      </c>
      <c r="I203" s="216">
        <v>5</v>
      </c>
      <c r="J203" s="216">
        <v>66.5</v>
      </c>
    </row>
    <row r="204" spans="1:15" x14ac:dyDescent="0.25">
      <c r="F204" s="211"/>
      <c r="G204" s="209"/>
      <c r="H204" s="117" t="s">
        <v>43</v>
      </c>
      <c r="I204" s="238">
        <f>I10+I12+I16+I22+I24+I27+I29+I31+I40+I47+I53+I56+I58+I61+I64+I67+I69+I72+I75+I81+I93+I98+I101+I105+I111+I121+I123+I127+I131+I134+I136+I145++I148+I150+I155+I158+I162+I165+I169+I171+I173+I175+I182+I184+I186+I188+I190+I192+I194+I196+I198+I200+I202</f>
        <v>67009</v>
      </c>
      <c r="J204" s="237">
        <f>J10+J12+J16+J22+J24+J27+J29+J31+J40+J47+J53+J56+J58+J61+J64+J67+J69+J72+J75+J81+J93+J98+J101+J105+J111+J121+J123+J127+J131+J134+J136+J145++J148+J150+J155+J158+J162+J165+J169+J171+J173+J175+J182+J184+J186+J188+J190+J192+J194+J196+J198+J200+J202</f>
        <v>2915388.9</v>
      </c>
      <c r="O204" s="26"/>
    </row>
    <row r="205" spans="1:15" ht="32.25" customHeight="1" x14ac:dyDescent="0.25">
      <c r="F205" s="211"/>
      <c r="G205" s="209"/>
      <c r="H205" s="118" t="s">
        <v>44</v>
      </c>
      <c r="I205" s="223">
        <f>I206-I204</f>
        <v>3674</v>
      </c>
      <c r="J205" s="36"/>
      <c r="O205" s="26"/>
    </row>
    <row r="206" spans="1:15" ht="21.75" customHeight="1" x14ac:dyDescent="0.25">
      <c r="F206" s="212"/>
      <c r="G206" s="210"/>
      <c r="H206" s="118" t="s">
        <v>45</v>
      </c>
      <c r="I206" s="223">
        <f>67954+2729</f>
        <v>70683</v>
      </c>
      <c r="J206" s="36"/>
      <c r="O206" s="26"/>
    </row>
    <row r="209" spans="6:15" ht="25.5" customHeight="1" x14ac:dyDescent="0.25">
      <c r="F209" s="435" t="s">
        <v>399</v>
      </c>
      <c r="G209" s="435"/>
      <c r="H209" s="435"/>
      <c r="I209" s="435"/>
      <c r="J209" s="435"/>
      <c r="K209" s="435"/>
      <c r="L209" s="435"/>
      <c r="M209" s="435"/>
      <c r="N209" s="435"/>
      <c r="O209" s="435"/>
    </row>
    <row r="210" spans="6:15" ht="15.75" customHeight="1" x14ac:dyDescent="0.25">
      <c r="F210" s="37"/>
      <c r="G210" s="37"/>
      <c r="H210" s="217"/>
      <c r="K210" s="218"/>
      <c r="L210" s="27"/>
      <c r="M210" s="27"/>
      <c r="N210" s="27"/>
    </row>
    <row r="211" spans="6:15" ht="15.75" customHeight="1" x14ac:dyDescent="0.25">
      <c r="F211" s="495" t="s">
        <v>46</v>
      </c>
      <c r="G211" s="498" t="s">
        <v>114</v>
      </c>
      <c r="H211" s="499"/>
      <c r="I211" s="504" t="s">
        <v>3</v>
      </c>
      <c r="J211" s="504"/>
      <c r="K211" s="504"/>
      <c r="L211" s="504"/>
      <c r="M211" s="504"/>
      <c r="N211" s="504"/>
      <c r="O211" s="504"/>
    </row>
    <row r="212" spans="6:15" x14ac:dyDescent="0.25">
      <c r="F212" s="496"/>
      <c r="G212" s="500"/>
      <c r="H212" s="501"/>
      <c r="I212" s="222">
        <v>188</v>
      </c>
      <c r="J212" s="222">
        <v>425</v>
      </c>
      <c r="K212" s="222">
        <v>465</v>
      </c>
      <c r="L212" s="222">
        <v>115</v>
      </c>
      <c r="M212" s="222">
        <v>59</v>
      </c>
      <c r="N212" s="222">
        <v>87</v>
      </c>
      <c r="O212" s="187">
        <v>354</v>
      </c>
    </row>
    <row r="213" spans="6:15" ht="57" x14ac:dyDescent="0.25">
      <c r="F213" s="497"/>
      <c r="G213" s="502"/>
      <c r="H213" s="503"/>
      <c r="I213" s="175" t="s">
        <v>27</v>
      </c>
      <c r="J213" s="175" t="s">
        <v>56</v>
      </c>
      <c r="K213" s="175" t="s">
        <v>432</v>
      </c>
      <c r="L213" s="175" t="s">
        <v>23</v>
      </c>
      <c r="M213" s="175" t="s">
        <v>135</v>
      </c>
      <c r="N213" s="175" t="s">
        <v>159</v>
      </c>
      <c r="O213" s="414" t="s">
        <v>176</v>
      </c>
    </row>
    <row r="214" spans="6:15" ht="15.75" customHeight="1" x14ac:dyDescent="0.25">
      <c r="F214" s="219"/>
      <c r="G214" s="490" t="s">
        <v>115</v>
      </c>
      <c r="H214" s="491"/>
      <c r="I214" s="416">
        <f>I102+I103</f>
        <v>12228</v>
      </c>
      <c r="J214" s="416">
        <f>I187</f>
        <v>44</v>
      </c>
      <c r="K214" s="416">
        <f>I172</f>
        <v>380</v>
      </c>
      <c r="L214" s="416">
        <f>I86</f>
        <v>64</v>
      </c>
      <c r="M214" s="416">
        <f>I114</f>
        <v>39</v>
      </c>
      <c r="N214" s="416">
        <f>I108</f>
        <v>30</v>
      </c>
      <c r="O214" s="416">
        <f>I178</f>
        <v>50</v>
      </c>
    </row>
    <row r="215" spans="6:15" ht="15.75" customHeight="1" x14ac:dyDescent="0.25">
      <c r="F215" s="219"/>
      <c r="G215" s="492" t="s">
        <v>116</v>
      </c>
      <c r="H215" s="493"/>
      <c r="I215" s="220">
        <f>SUM(I216:I237)</f>
        <v>10733</v>
      </c>
      <c r="J215" s="220">
        <f t="shared" ref="J215:O215" si="66">SUM(J216:J237)</f>
        <v>44</v>
      </c>
      <c r="K215" s="220">
        <f t="shared" si="66"/>
        <v>350</v>
      </c>
      <c r="L215" s="220">
        <f t="shared" si="66"/>
        <v>64</v>
      </c>
      <c r="M215" s="220">
        <f t="shared" si="66"/>
        <v>39</v>
      </c>
      <c r="N215" s="220">
        <f t="shared" si="66"/>
        <v>30</v>
      </c>
      <c r="O215" s="220">
        <f t="shared" si="66"/>
        <v>50</v>
      </c>
    </row>
    <row r="216" spans="6:15" ht="24" customHeight="1" x14ac:dyDescent="0.25">
      <c r="F216" s="221" t="s">
        <v>436</v>
      </c>
      <c r="G216" s="489" t="s">
        <v>117</v>
      </c>
      <c r="H216" s="489"/>
      <c r="I216" s="222">
        <v>714</v>
      </c>
      <c r="J216" s="222">
        <v>4</v>
      </c>
      <c r="K216" s="222">
        <v>12</v>
      </c>
      <c r="L216" s="222">
        <v>64</v>
      </c>
      <c r="M216" s="222">
        <v>25</v>
      </c>
      <c r="N216" s="222"/>
      <c r="O216" s="36"/>
    </row>
    <row r="217" spans="6:15" ht="24" customHeight="1" x14ac:dyDescent="0.25">
      <c r="F217" s="221" t="s">
        <v>437</v>
      </c>
      <c r="G217" s="489" t="s">
        <v>118</v>
      </c>
      <c r="H217" s="489"/>
      <c r="I217" s="222">
        <v>708</v>
      </c>
      <c r="J217" s="222"/>
      <c r="K217" s="222">
        <v>82</v>
      </c>
      <c r="L217" s="222"/>
      <c r="M217" s="222">
        <v>14</v>
      </c>
      <c r="N217" s="222"/>
      <c r="O217" s="36"/>
    </row>
    <row r="218" spans="6:15" ht="24" customHeight="1" x14ac:dyDescent="0.25">
      <c r="F218" s="221" t="s">
        <v>438</v>
      </c>
      <c r="G218" s="489" t="s">
        <v>119</v>
      </c>
      <c r="H218" s="489"/>
      <c r="I218" s="222">
        <v>772</v>
      </c>
      <c r="J218" s="222">
        <v>2</v>
      </c>
      <c r="K218" s="222">
        <v>35</v>
      </c>
      <c r="L218" s="222"/>
      <c r="M218" s="222"/>
      <c r="N218" s="222"/>
      <c r="O218" s="36"/>
    </row>
    <row r="219" spans="6:15" ht="24" customHeight="1" x14ac:dyDescent="0.25">
      <c r="F219" s="221" t="s">
        <v>439</v>
      </c>
      <c r="G219" s="489" t="s">
        <v>122</v>
      </c>
      <c r="H219" s="489"/>
      <c r="I219" s="222">
        <v>1333</v>
      </c>
      <c r="J219" s="222"/>
      <c r="K219" s="222">
        <v>55</v>
      </c>
      <c r="L219" s="222"/>
      <c r="M219" s="222"/>
      <c r="N219" s="222"/>
      <c r="O219" s="41">
        <v>21</v>
      </c>
    </row>
    <row r="220" spans="6:15" ht="24" customHeight="1" x14ac:dyDescent="0.25">
      <c r="F220" s="221" t="s">
        <v>440</v>
      </c>
      <c r="G220" s="489" t="s">
        <v>123</v>
      </c>
      <c r="H220" s="489"/>
      <c r="I220" s="222">
        <v>772</v>
      </c>
      <c r="J220" s="222">
        <f>6-1</f>
        <v>5</v>
      </c>
      <c r="K220" s="222">
        <v>10</v>
      </c>
      <c r="L220" s="222"/>
      <c r="M220" s="222"/>
      <c r="N220" s="222"/>
      <c r="O220" s="41"/>
    </row>
    <row r="221" spans="6:15" ht="24" customHeight="1" x14ac:dyDescent="0.25">
      <c r="F221" s="221" t="s">
        <v>441</v>
      </c>
      <c r="G221" s="489" t="s">
        <v>124</v>
      </c>
      <c r="H221" s="489"/>
      <c r="I221" s="222">
        <v>940</v>
      </c>
      <c r="J221" s="222">
        <v>3</v>
      </c>
      <c r="K221" s="222">
        <v>40</v>
      </c>
      <c r="L221" s="222"/>
      <c r="M221" s="222"/>
      <c r="N221" s="222">
        <v>30</v>
      </c>
      <c r="O221" s="41">
        <v>29</v>
      </c>
    </row>
    <row r="222" spans="6:15" ht="24" customHeight="1" x14ac:dyDescent="0.25">
      <c r="F222" s="221" t="s">
        <v>442</v>
      </c>
      <c r="G222" s="489" t="s">
        <v>125</v>
      </c>
      <c r="H222" s="489"/>
      <c r="I222" s="222">
        <v>322</v>
      </c>
      <c r="J222" s="222"/>
      <c r="K222" s="222">
        <v>13</v>
      </c>
      <c r="L222" s="222"/>
      <c r="M222" s="222"/>
      <c r="N222" s="222"/>
      <c r="O222" s="36"/>
    </row>
    <row r="223" spans="6:15" ht="24" customHeight="1" x14ac:dyDescent="0.25">
      <c r="F223" s="221" t="s">
        <v>443</v>
      </c>
      <c r="G223" s="489" t="s">
        <v>120</v>
      </c>
      <c r="H223" s="489"/>
      <c r="I223" s="222">
        <v>266</v>
      </c>
      <c r="J223" s="222">
        <v>2</v>
      </c>
      <c r="K223" s="222">
        <v>29</v>
      </c>
      <c r="L223" s="222"/>
      <c r="M223" s="222"/>
      <c r="N223" s="222"/>
      <c r="O223" s="36"/>
    </row>
    <row r="224" spans="6:15" ht="24" customHeight="1" x14ac:dyDescent="0.25">
      <c r="F224" s="221" t="s">
        <v>444</v>
      </c>
      <c r="G224" s="489" t="s">
        <v>126</v>
      </c>
      <c r="H224" s="489"/>
      <c r="I224" s="222">
        <v>469</v>
      </c>
      <c r="J224" s="222">
        <v>2</v>
      </c>
      <c r="K224" s="222">
        <v>15</v>
      </c>
      <c r="L224" s="222"/>
      <c r="M224" s="222"/>
      <c r="N224" s="222"/>
      <c r="O224" s="36"/>
    </row>
    <row r="225" spans="6:15" ht="24" customHeight="1" x14ac:dyDescent="0.25">
      <c r="F225" s="221" t="s">
        <v>445</v>
      </c>
      <c r="G225" s="489" t="s">
        <v>121</v>
      </c>
      <c r="H225" s="489"/>
      <c r="I225" s="222">
        <v>641</v>
      </c>
      <c r="J225" s="222">
        <v>3</v>
      </c>
      <c r="K225" s="222">
        <v>13</v>
      </c>
      <c r="L225" s="222"/>
      <c r="M225" s="222"/>
      <c r="N225" s="222"/>
      <c r="O225" s="36"/>
    </row>
    <row r="226" spans="6:15" ht="24" customHeight="1" x14ac:dyDescent="0.25">
      <c r="F226" s="221" t="s">
        <v>446</v>
      </c>
      <c r="G226" s="489" t="s">
        <v>128</v>
      </c>
      <c r="H226" s="489"/>
      <c r="I226" s="222">
        <v>432</v>
      </c>
      <c r="J226" s="222"/>
      <c r="K226" s="222">
        <v>6</v>
      </c>
      <c r="L226" s="222"/>
      <c r="M226" s="222"/>
      <c r="N226" s="222"/>
      <c r="O226" s="36"/>
    </row>
    <row r="227" spans="6:15" ht="24" customHeight="1" x14ac:dyDescent="0.25">
      <c r="F227" s="221" t="s">
        <v>447</v>
      </c>
      <c r="G227" s="489" t="s">
        <v>132</v>
      </c>
      <c r="H227" s="489"/>
      <c r="I227" s="222">
        <v>654</v>
      </c>
      <c r="J227" s="222">
        <v>2</v>
      </c>
      <c r="K227" s="222">
        <v>1</v>
      </c>
      <c r="L227" s="222"/>
      <c r="M227" s="222"/>
      <c r="N227" s="222"/>
      <c r="O227" s="36"/>
    </row>
    <row r="228" spans="6:15" ht="24" customHeight="1" x14ac:dyDescent="0.25">
      <c r="F228" s="221" t="s">
        <v>448</v>
      </c>
      <c r="G228" s="489" t="s">
        <v>127</v>
      </c>
      <c r="H228" s="489"/>
      <c r="I228" s="222">
        <v>619</v>
      </c>
      <c r="J228" s="222">
        <f>10-1</f>
        <v>9</v>
      </c>
      <c r="K228" s="222">
        <v>9</v>
      </c>
      <c r="L228" s="222"/>
      <c r="M228" s="222"/>
      <c r="N228" s="222"/>
      <c r="O228" s="36"/>
    </row>
    <row r="229" spans="6:15" ht="24" customHeight="1" x14ac:dyDescent="0.25">
      <c r="F229" s="221" t="s">
        <v>449</v>
      </c>
      <c r="G229" s="489" t="s">
        <v>129</v>
      </c>
      <c r="H229" s="489"/>
      <c r="I229" s="222">
        <v>364</v>
      </c>
      <c r="J229" s="222">
        <f>4-1</f>
        <v>3</v>
      </c>
      <c r="K229" s="222">
        <v>16</v>
      </c>
      <c r="L229" s="222"/>
      <c r="M229" s="222"/>
      <c r="N229" s="222"/>
      <c r="O229" s="36"/>
    </row>
    <row r="230" spans="6:15" ht="24" customHeight="1" x14ac:dyDescent="0.25">
      <c r="F230" s="221" t="s">
        <v>450</v>
      </c>
      <c r="G230" s="489" t="s">
        <v>130</v>
      </c>
      <c r="H230" s="489"/>
      <c r="I230" s="222">
        <v>400</v>
      </c>
      <c r="J230" s="222">
        <v>1</v>
      </c>
      <c r="K230" s="222">
        <v>14</v>
      </c>
      <c r="L230" s="222"/>
      <c r="M230" s="222"/>
      <c r="N230" s="222"/>
      <c r="O230" s="36"/>
    </row>
    <row r="231" spans="6:15" ht="24" customHeight="1" x14ac:dyDescent="0.25">
      <c r="F231" s="221" t="s">
        <v>451</v>
      </c>
      <c r="G231" s="489" t="s">
        <v>131</v>
      </c>
      <c r="H231" s="489"/>
      <c r="I231" s="222">
        <v>613</v>
      </c>
      <c r="J231" s="222">
        <v>3</v>
      </c>
      <c r="K231" s="222"/>
      <c r="L231" s="222"/>
      <c r="M231" s="222"/>
      <c r="N231" s="222"/>
      <c r="O231" s="36"/>
    </row>
    <row r="232" spans="6:15" ht="24" customHeight="1" x14ac:dyDescent="0.25">
      <c r="F232" s="221" t="s">
        <v>452</v>
      </c>
      <c r="G232" s="489" t="s">
        <v>133</v>
      </c>
      <c r="H232" s="489"/>
      <c r="I232" s="222">
        <v>380</v>
      </c>
      <c r="J232" s="222">
        <v>5</v>
      </c>
      <c r="K232" s="222"/>
      <c r="L232" s="222"/>
      <c r="M232" s="222"/>
      <c r="N232" s="222"/>
      <c r="O232" s="36"/>
    </row>
    <row r="233" spans="6:15" ht="24" customHeight="1" x14ac:dyDescent="0.25">
      <c r="F233" s="221" t="s">
        <v>453</v>
      </c>
      <c r="G233" s="489" t="s">
        <v>179</v>
      </c>
      <c r="H233" s="489"/>
      <c r="I233" s="222">
        <v>249</v>
      </c>
      <c r="J233" s="222"/>
      <c r="K233" s="222"/>
      <c r="L233" s="222"/>
      <c r="M233" s="222"/>
      <c r="N233" s="222"/>
      <c r="O233" s="36"/>
    </row>
    <row r="234" spans="6:15" ht="24" customHeight="1" x14ac:dyDescent="0.25">
      <c r="F234" s="221" t="s">
        <v>454</v>
      </c>
      <c r="G234" s="489" t="s">
        <v>180</v>
      </c>
      <c r="H234" s="489"/>
      <c r="I234" s="222">
        <v>25</v>
      </c>
      <c r="J234" s="222"/>
      <c r="K234" s="222"/>
      <c r="L234" s="222"/>
      <c r="M234" s="222"/>
      <c r="N234" s="222"/>
      <c r="O234" s="36"/>
    </row>
    <row r="235" spans="6:15" ht="24" customHeight="1" x14ac:dyDescent="0.25">
      <c r="F235" s="221" t="s">
        <v>455</v>
      </c>
      <c r="G235" s="489" t="s">
        <v>433</v>
      </c>
      <c r="H235" s="489"/>
      <c r="I235" s="222">
        <v>10</v>
      </c>
      <c r="J235" s="222"/>
      <c r="K235" s="222"/>
      <c r="L235" s="222"/>
      <c r="M235" s="222"/>
      <c r="N235" s="222"/>
      <c r="O235" s="36"/>
    </row>
    <row r="236" spans="6:15" ht="24" customHeight="1" x14ac:dyDescent="0.25">
      <c r="F236" s="221" t="s">
        <v>456</v>
      </c>
      <c r="G236" s="489" t="s">
        <v>434</v>
      </c>
      <c r="H236" s="489"/>
      <c r="I236" s="222">
        <v>30</v>
      </c>
      <c r="J236" s="222"/>
      <c r="K236" s="222"/>
      <c r="L236" s="222"/>
      <c r="M236" s="222"/>
      <c r="N236" s="222"/>
      <c r="O236" s="36"/>
    </row>
    <row r="237" spans="6:15" ht="24" customHeight="1" x14ac:dyDescent="0.25">
      <c r="F237" s="221" t="s">
        <v>457</v>
      </c>
      <c r="G237" s="489" t="s">
        <v>435</v>
      </c>
      <c r="H237" s="489"/>
      <c r="I237" s="222">
        <v>20</v>
      </c>
      <c r="J237" s="222"/>
      <c r="K237" s="222"/>
      <c r="L237" s="222"/>
      <c r="M237" s="222"/>
      <c r="N237" s="222"/>
      <c r="O237" s="36"/>
    </row>
  </sheetData>
  <autoFilter ref="A9:P190"/>
  <mergeCells count="29">
    <mergeCell ref="G214:H214"/>
    <mergeCell ref="G215:H215"/>
    <mergeCell ref="F7:J7"/>
    <mergeCell ref="F211:F213"/>
    <mergeCell ref="G211:H213"/>
    <mergeCell ref="F209:O209"/>
    <mergeCell ref="I211:O211"/>
    <mergeCell ref="G216:H216"/>
    <mergeCell ref="G217:H217"/>
    <mergeCell ref="G218:H218"/>
    <mergeCell ref="G229:H229"/>
    <mergeCell ref="G230:H230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G236:H236"/>
    <mergeCell ref="G237:H237"/>
    <mergeCell ref="G231:H231"/>
    <mergeCell ref="G232:H232"/>
    <mergeCell ref="G233:H233"/>
    <mergeCell ref="G234:H234"/>
    <mergeCell ref="G235:H2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9"/>
  <sheetViews>
    <sheetView topLeftCell="A44" zoomScale="90" zoomScaleNormal="90" workbookViewId="0">
      <selection activeCell="H269" sqref="H269"/>
    </sheetView>
  </sheetViews>
  <sheetFormatPr defaultColWidth="9.140625" defaultRowHeight="15" x14ac:dyDescent="0.25"/>
  <cols>
    <col min="1" max="1" width="7.85546875" style="225" customWidth="1"/>
    <col min="2" max="2" width="51.28515625" style="103" customWidth="1"/>
    <col min="3" max="3" width="29.140625" style="94" customWidth="1"/>
    <col min="4" max="4" width="22.85546875" style="94" customWidth="1"/>
    <col min="5" max="5" width="22.42578125" style="94" customWidth="1"/>
    <col min="6" max="6" width="11.5703125" style="94" customWidth="1"/>
    <col min="7" max="7" width="18.85546875" style="94" customWidth="1"/>
    <col min="8" max="8" width="12.42578125" style="94" customWidth="1"/>
    <col min="9" max="16384" width="9.140625" style="94"/>
  </cols>
  <sheetData>
    <row r="1" spans="1:8" ht="15.75" x14ac:dyDescent="0.25">
      <c r="A1" s="224"/>
      <c r="B1" s="92"/>
      <c r="C1" s="93"/>
      <c r="D1" s="93"/>
      <c r="E1" s="110" t="s">
        <v>491</v>
      </c>
      <c r="G1" s="91"/>
      <c r="H1" s="91"/>
    </row>
    <row r="2" spans="1:8" ht="15.75" x14ac:dyDescent="0.25">
      <c r="A2" s="224"/>
      <c r="B2" s="92"/>
      <c r="C2" s="93"/>
      <c r="D2" s="93"/>
      <c r="E2" s="95" t="s">
        <v>489</v>
      </c>
      <c r="G2" s="91"/>
      <c r="H2" s="91"/>
    </row>
    <row r="3" spans="1:8" ht="15.75" x14ac:dyDescent="0.25">
      <c r="A3" s="224"/>
      <c r="B3" s="92"/>
      <c r="C3" s="96"/>
      <c r="D3" s="93"/>
      <c r="E3" s="95" t="s">
        <v>0</v>
      </c>
      <c r="G3" s="91"/>
      <c r="H3" s="91"/>
    </row>
    <row r="4" spans="1:8" ht="18.75" x14ac:dyDescent="0.25">
      <c r="A4" s="224"/>
      <c r="B4" s="92"/>
      <c r="C4" s="96"/>
      <c r="D4" s="97"/>
      <c r="E4" s="95" t="s">
        <v>1</v>
      </c>
      <c r="G4" s="409"/>
      <c r="H4" s="91"/>
    </row>
    <row r="5" spans="1:8" ht="15.75" x14ac:dyDescent="0.25">
      <c r="A5" s="224"/>
      <c r="B5" s="92"/>
      <c r="C5" s="96"/>
      <c r="D5" s="98"/>
      <c r="E5" s="99" t="s">
        <v>492</v>
      </c>
      <c r="G5" s="91"/>
      <c r="H5" s="91"/>
    </row>
    <row r="6" spans="1:8" ht="15.75" x14ac:dyDescent="0.25">
      <c r="A6" s="224"/>
      <c r="B6" s="92"/>
      <c r="C6" s="93"/>
      <c r="D6" s="93"/>
      <c r="E6" s="100"/>
      <c r="F6" s="91"/>
      <c r="G6" s="91"/>
      <c r="H6" s="91"/>
    </row>
    <row r="7" spans="1:8" ht="47.45" customHeight="1" x14ac:dyDescent="0.25">
      <c r="A7" s="562" t="s">
        <v>461</v>
      </c>
      <c r="B7" s="562"/>
      <c r="C7" s="562"/>
      <c r="D7" s="562"/>
      <c r="E7" s="562"/>
      <c r="F7" s="101"/>
      <c r="G7" s="102"/>
      <c r="H7" s="102"/>
    </row>
    <row r="8" spans="1:8" ht="20.25" customHeight="1" x14ac:dyDescent="0.25"/>
    <row r="9" spans="1:8" s="269" customFormat="1" ht="24.75" customHeight="1" x14ac:dyDescent="0.25">
      <c r="A9" s="518" t="s">
        <v>2</v>
      </c>
      <c r="B9" s="520" t="s">
        <v>232</v>
      </c>
      <c r="C9" s="563" t="s">
        <v>240</v>
      </c>
      <c r="D9" s="563" t="s">
        <v>241</v>
      </c>
      <c r="E9" s="565" t="s">
        <v>242</v>
      </c>
    </row>
    <row r="10" spans="1:8" s="269" customFormat="1" ht="48.75" customHeight="1" x14ac:dyDescent="0.25">
      <c r="A10" s="519"/>
      <c r="B10" s="521"/>
      <c r="C10" s="564"/>
      <c r="D10" s="564"/>
      <c r="E10" s="565"/>
    </row>
    <row r="11" spans="1:8" s="269" customFormat="1" ht="19.5" customHeight="1" x14ac:dyDescent="0.25">
      <c r="A11" s="226">
        <v>61</v>
      </c>
      <c r="B11" s="271" t="s">
        <v>48</v>
      </c>
      <c r="C11" s="272">
        <v>6516</v>
      </c>
      <c r="D11" s="272">
        <v>1100</v>
      </c>
      <c r="E11" s="272">
        <v>7850</v>
      </c>
    </row>
    <row r="12" spans="1:8" s="269" customFormat="1" ht="19.5" customHeight="1" x14ac:dyDescent="0.25">
      <c r="A12" s="226">
        <v>59</v>
      </c>
      <c r="B12" s="271" t="s">
        <v>29</v>
      </c>
      <c r="C12" s="272">
        <v>98391</v>
      </c>
      <c r="D12" s="272">
        <v>18400</v>
      </c>
      <c r="E12" s="272">
        <v>54944</v>
      </c>
    </row>
    <row r="13" spans="1:8" s="269" customFormat="1" ht="19.5" customHeight="1" x14ac:dyDescent="0.25">
      <c r="A13" s="226">
        <v>63</v>
      </c>
      <c r="B13" s="271" t="s">
        <v>30</v>
      </c>
      <c r="C13" s="272">
        <v>28111</v>
      </c>
      <c r="D13" s="272">
        <v>4524</v>
      </c>
      <c r="E13" s="272">
        <v>14328</v>
      </c>
    </row>
    <row r="14" spans="1:8" s="269" customFormat="1" ht="19.5" customHeight="1" x14ac:dyDescent="0.25">
      <c r="A14" s="226">
        <v>65</v>
      </c>
      <c r="B14" s="271" t="s">
        <v>31</v>
      </c>
      <c r="C14" s="272">
        <v>35401</v>
      </c>
      <c r="D14" s="272">
        <v>6220</v>
      </c>
      <c r="E14" s="272">
        <v>17622</v>
      </c>
    </row>
    <row r="15" spans="1:8" s="269" customFormat="1" ht="19.5" customHeight="1" x14ac:dyDescent="0.25">
      <c r="A15" s="226">
        <v>67</v>
      </c>
      <c r="B15" s="271" t="s">
        <v>61</v>
      </c>
      <c r="C15" s="272">
        <v>37237</v>
      </c>
      <c r="D15" s="272">
        <v>3700</v>
      </c>
      <c r="E15" s="272">
        <v>15946</v>
      </c>
    </row>
    <row r="16" spans="1:8" s="269" customFormat="1" ht="19.5" customHeight="1" x14ac:dyDescent="0.25">
      <c r="A16" s="226">
        <v>69</v>
      </c>
      <c r="B16" s="271" t="s">
        <v>32</v>
      </c>
      <c r="C16" s="272">
        <v>56270</v>
      </c>
      <c r="D16" s="272">
        <v>4445</v>
      </c>
      <c r="E16" s="272">
        <v>25793</v>
      </c>
    </row>
    <row r="17" spans="1:5" s="269" customFormat="1" ht="19.5" customHeight="1" x14ac:dyDescent="0.25">
      <c r="A17" s="226">
        <v>71</v>
      </c>
      <c r="B17" s="271" t="s">
        <v>14</v>
      </c>
      <c r="C17" s="272">
        <v>50743</v>
      </c>
      <c r="D17" s="272">
        <v>5354</v>
      </c>
      <c r="E17" s="272">
        <v>10211</v>
      </c>
    </row>
    <row r="18" spans="1:5" s="269" customFormat="1" ht="19.5" customHeight="1" x14ac:dyDescent="0.25">
      <c r="A18" s="226">
        <v>103</v>
      </c>
      <c r="B18" s="271" t="s">
        <v>15</v>
      </c>
      <c r="C18" s="272">
        <v>181902</v>
      </c>
      <c r="D18" s="272">
        <v>17600</v>
      </c>
      <c r="E18" s="272">
        <v>47367</v>
      </c>
    </row>
    <row r="19" spans="1:5" s="269" customFormat="1" ht="19.5" customHeight="1" x14ac:dyDescent="0.25">
      <c r="A19" s="226">
        <v>73</v>
      </c>
      <c r="B19" s="271" t="s">
        <v>17</v>
      </c>
      <c r="C19" s="272">
        <v>40638</v>
      </c>
      <c r="D19" s="272">
        <v>2400</v>
      </c>
      <c r="E19" s="272">
        <v>13197</v>
      </c>
    </row>
    <row r="20" spans="1:5" s="269" customFormat="1" ht="19.5" customHeight="1" x14ac:dyDescent="0.25">
      <c r="A20" s="226">
        <v>232</v>
      </c>
      <c r="B20" s="271" t="s">
        <v>55</v>
      </c>
      <c r="C20" s="272">
        <v>74858</v>
      </c>
      <c r="D20" s="272">
        <v>13300</v>
      </c>
      <c r="E20" s="272">
        <v>20972</v>
      </c>
    </row>
    <row r="21" spans="1:5" s="269" customFormat="1" ht="19.5" customHeight="1" x14ac:dyDescent="0.25">
      <c r="A21" s="226">
        <v>75</v>
      </c>
      <c r="B21" s="271" t="s">
        <v>62</v>
      </c>
      <c r="C21" s="272">
        <v>32862</v>
      </c>
      <c r="D21" s="272">
        <v>6100</v>
      </c>
      <c r="E21" s="272">
        <v>11235</v>
      </c>
    </row>
    <row r="22" spans="1:5" s="269" customFormat="1" ht="19.5" customHeight="1" x14ac:dyDescent="0.25">
      <c r="A22" s="226">
        <v>275</v>
      </c>
      <c r="B22" s="271" t="s">
        <v>51</v>
      </c>
      <c r="C22" s="272">
        <v>11814</v>
      </c>
      <c r="D22" s="272">
        <v>2900</v>
      </c>
      <c r="E22" s="272">
        <v>5568</v>
      </c>
    </row>
    <row r="23" spans="1:5" s="269" customFormat="1" ht="19.5" customHeight="1" x14ac:dyDescent="0.25">
      <c r="A23" s="226">
        <v>203</v>
      </c>
      <c r="B23" s="271" t="s">
        <v>33</v>
      </c>
      <c r="C23" s="272">
        <v>43403</v>
      </c>
      <c r="D23" s="272">
        <v>2400</v>
      </c>
      <c r="E23" s="272">
        <v>24753</v>
      </c>
    </row>
    <row r="24" spans="1:5" s="269" customFormat="1" ht="19.5" customHeight="1" x14ac:dyDescent="0.25">
      <c r="A24" s="226">
        <v>79</v>
      </c>
      <c r="B24" s="271" t="s">
        <v>34</v>
      </c>
      <c r="C24" s="272">
        <v>29507</v>
      </c>
      <c r="D24" s="272">
        <v>4200</v>
      </c>
      <c r="E24" s="272">
        <v>12572</v>
      </c>
    </row>
    <row r="25" spans="1:5" s="269" customFormat="1" ht="19.5" customHeight="1" x14ac:dyDescent="0.25">
      <c r="A25" s="226">
        <v>231</v>
      </c>
      <c r="B25" s="271" t="s">
        <v>54</v>
      </c>
      <c r="C25" s="272">
        <v>110642</v>
      </c>
      <c r="D25" s="272">
        <v>2650</v>
      </c>
      <c r="E25" s="272">
        <v>42381</v>
      </c>
    </row>
    <row r="26" spans="1:5" s="269" customFormat="1" ht="19.5" customHeight="1" x14ac:dyDescent="0.25">
      <c r="A26" s="226">
        <v>115</v>
      </c>
      <c r="B26" s="271" t="s">
        <v>23</v>
      </c>
      <c r="C26" s="272">
        <v>61359</v>
      </c>
      <c r="D26" s="272">
        <v>7600</v>
      </c>
      <c r="E26" s="272">
        <v>52786</v>
      </c>
    </row>
    <row r="27" spans="1:5" s="269" customFormat="1" ht="19.5" customHeight="1" x14ac:dyDescent="0.25">
      <c r="A27" s="226">
        <v>81</v>
      </c>
      <c r="B27" s="271" t="s">
        <v>35</v>
      </c>
      <c r="C27" s="272">
        <v>13124</v>
      </c>
      <c r="D27" s="272">
        <v>1100</v>
      </c>
      <c r="E27" s="272">
        <v>9335</v>
      </c>
    </row>
    <row r="28" spans="1:5" s="269" customFormat="1" ht="19.5" customHeight="1" x14ac:dyDescent="0.25">
      <c r="A28" s="226">
        <v>83</v>
      </c>
      <c r="B28" s="271" t="s">
        <v>26</v>
      </c>
      <c r="C28" s="272">
        <v>88445</v>
      </c>
      <c r="D28" s="272">
        <v>2100</v>
      </c>
      <c r="E28" s="272">
        <v>34843</v>
      </c>
    </row>
    <row r="29" spans="1:5" s="269" customFormat="1" ht="19.5" customHeight="1" x14ac:dyDescent="0.25">
      <c r="A29" s="226">
        <v>85</v>
      </c>
      <c r="B29" s="271" t="s">
        <v>36</v>
      </c>
      <c r="C29" s="272">
        <v>24193</v>
      </c>
      <c r="D29" s="272">
        <v>1000</v>
      </c>
      <c r="E29" s="272">
        <v>17898</v>
      </c>
    </row>
    <row r="30" spans="1:5" s="269" customFormat="1" ht="19.5" customHeight="1" x14ac:dyDescent="0.25">
      <c r="A30" s="226">
        <v>87</v>
      </c>
      <c r="B30" s="271" t="s">
        <v>28</v>
      </c>
      <c r="C30" s="272">
        <v>56443</v>
      </c>
      <c r="D30" s="272">
        <v>5300</v>
      </c>
      <c r="E30" s="272">
        <v>21976</v>
      </c>
    </row>
    <row r="31" spans="1:5" s="269" customFormat="1" ht="19.5" customHeight="1" x14ac:dyDescent="0.25">
      <c r="A31" s="226">
        <v>144</v>
      </c>
      <c r="B31" s="271" t="s">
        <v>24</v>
      </c>
      <c r="C31" s="272">
        <v>93760</v>
      </c>
      <c r="D31" s="272">
        <v>36800</v>
      </c>
      <c r="E31" s="272">
        <v>1368</v>
      </c>
    </row>
    <row r="32" spans="1:5" s="269" customFormat="1" ht="19.5" customHeight="1" x14ac:dyDescent="0.25">
      <c r="A32" s="226">
        <v>292</v>
      </c>
      <c r="B32" s="271" t="s">
        <v>22</v>
      </c>
      <c r="C32" s="272">
        <v>23916</v>
      </c>
      <c r="D32" s="272">
        <v>1200</v>
      </c>
      <c r="E32" s="272">
        <v>6710</v>
      </c>
    </row>
    <row r="33" spans="1:5" s="269" customFormat="1" ht="19.5" customHeight="1" x14ac:dyDescent="0.25">
      <c r="A33" s="226">
        <v>188</v>
      </c>
      <c r="B33" s="271" t="s">
        <v>27</v>
      </c>
      <c r="C33" s="272">
        <v>87053</v>
      </c>
      <c r="D33" s="272">
        <v>0</v>
      </c>
      <c r="E33" s="272">
        <v>29916</v>
      </c>
    </row>
    <row r="34" spans="1:5" s="269" customFormat="1" ht="19.5" customHeight="1" x14ac:dyDescent="0.25">
      <c r="A34" s="226">
        <v>26</v>
      </c>
      <c r="B34" s="271" t="s">
        <v>218</v>
      </c>
      <c r="C34" s="272">
        <v>47640</v>
      </c>
      <c r="D34" s="272">
        <v>0</v>
      </c>
      <c r="E34" s="272">
        <v>4400</v>
      </c>
    </row>
    <row r="35" spans="1:5" s="269" customFormat="1" ht="19.5" customHeight="1" x14ac:dyDescent="0.25">
      <c r="A35" s="226">
        <v>146</v>
      </c>
      <c r="B35" s="271" t="s">
        <v>20</v>
      </c>
      <c r="C35" s="272">
        <v>66270</v>
      </c>
      <c r="D35" s="272">
        <v>0</v>
      </c>
      <c r="E35" s="272">
        <v>1572</v>
      </c>
    </row>
    <row r="36" spans="1:5" s="269" customFormat="1" ht="19.5" customHeight="1" x14ac:dyDescent="0.25">
      <c r="A36" s="226">
        <v>29</v>
      </c>
      <c r="B36" s="271" t="s">
        <v>190</v>
      </c>
      <c r="C36" s="272">
        <v>61823</v>
      </c>
      <c r="D36" s="272">
        <v>3200</v>
      </c>
      <c r="E36" s="272">
        <v>31975</v>
      </c>
    </row>
    <row r="37" spans="1:5" s="269" customFormat="1" ht="19.5" customHeight="1" x14ac:dyDescent="0.25">
      <c r="A37" s="226">
        <v>33</v>
      </c>
      <c r="B37" s="271" t="s">
        <v>49</v>
      </c>
      <c r="C37" s="272">
        <v>153872</v>
      </c>
      <c r="D37" s="272">
        <v>65350</v>
      </c>
      <c r="E37" s="272">
        <v>43718</v>
      </c>
    </row>
    <row r="38" spans="1:5" s="269" customFormat="1" ht="19.5" customHeight="1" x14ac:dyDescent="0.25">
      <c r="A38" s="226">
        <v>35</v>
      </c>
      <c r="B38" s="271" t="s">
        <v>50</v>
      </c>
      <c r="C38" s="272">
        <v>75323</v>
      </c>
      <c r="D38" s="272">
        <v>12050</v>
      </c>
      <c r="E38" s="272">
        <v>39670</v>
      </c>
    </row>
    <row r="39" spans="1:5" s="269" customFormat="1" ht="19.5" customHeight="1" x14ac:dyDescent="0.25">
      <c r="A39" s="226">
        <v>140</v>
      </c>
      <c r="B39" s="271" t="s">
        <v>244</v>
      </c>
      <c r="C39" s="272">
        <v>214219</v>
      </c>
      <c r="D39" s="272">
        <v>64440</v>
      </c>
      <c r="E39" s="272">
        <v>90837</v>
      </c>
    </row>
    <row r="40" spans="1:5" s="269" customFormat="1" ht="19.5" customHeight="1" x14ac:dyDescent="0.25">
      <c r="A40" s="226">
        <v>49</v>
      </c>
      <c r="B40" s="271" t="s">
        <v>18</v>
      </c>
      <c r="C40" s="272">
        <v>64210</v>
      </c>
      <c r="D40" s="272">
        <v>10050</v>
      </c>
      <c r="E40" s="272">
        <v>19538</v>
      </c>
    </row>
    <row r="41" spans="1:5" s="269" customFormat="1" ht="19.5" customHeight="1" x14ac:dyDescent="0.25">
      <c r="A41" s="226">
        <v>142</v>
      </c>
      <c r="B41" s="271" t="s">
        <v>464</v>
      </c>
      <c r="C41" s="272">
        <v>42999</v>
      </c>
      <c r="D41" s="272">
        <v>3300</v>
      </c>
      <c r="E41" s="272">
        <v>13202</v>
      </c>
    </row>
    <row r="42" spans="1:5" s="269" customFormat="1" ht="19.5" customHeight="1" x14ac:dyDescent="0.25">
      <c r="A42" s="226">
        <v>129</v>
      </c>
      <c r="B42" s="271" t="s">
        <v>230</v>
      </c>
      <c r="C42" s="272">
        <v>71803</v>
      </c>
      <c r="D42" s="272">
        <v>5786</v>
      </c>
      <c r="E42" s="272">
        <v>26913</v>
      </c>
    </row>
    <row r="43" spans="1:5" s="269" customFormat="1" ht="19.5" customHeight="1" x14ac:dyDescent="0.25">
      <c r="A43" s="226">
        <v>133</v>
      </c>
      <c r="B43" s="271" t="s">
        <v>462</v>
      </c>
      <c r="C43" s="272">
        <v>96163</v>
      </c>
      <c r="D43" s="272">
        <v>5200</v>
      </c>
      <c r="E43" s="272">
        <v>37185</v>
      </c>
    </row>
    <row r="44" spans="1:5" s="269" customFormat="1" ht="19.5" customHeight="1" x14ac:dyDescent="0.25">
      <c r="A44" s="226">
        <v>135</v>
      </c>
      <c r="B44" s="271" t="s">
        <v>245</v>
      </c>
      <c r="C44" s="272">
        <v>214469</v>
      </c>
      <c r="D44" s="272">
        <v>10250</v>
      </c>
      <c r="E44" s="272">
        <v>62982</v>
      </c>
    </row>
    <row r="45" spans="1:5" s="269" customFormat="1" ht="19.5" customHeight="1" x14ac:dyDescent="0.25">
      <c r="A45" s="226">
        <v>4</v>
      </c>
      <c r="B45" s="271" t="s">
        <v>53</v>
      </c>
      <c r="C45" s="272">
        <v>87486</v>
      </c>
      <c r="D45" s="272">
        <v>14755</v>
      </c>
      <c r="E45" s="272">
        <v>32693</v>
      </c>
    </row>
    <row r="46" spans="1:5" s="269" customFormat="1" ht="19.5" customHeight="1" x14ac:dyDescent="0.25">
      <c r="A46" s="226">
        <v>10</v>
      </c>
      <c r="B46" s="271" t="s">
        <v>246</v>
      </c>
      <c r="C46" s="272">
        <v>152270</v>
      </c>
      <c r="D46" s="272">
        <v>37886</v>
      </c>
      <c r="E46" s="272">
        <v>68845</v>
      </c>
    </row>
    <row r="47" spans="1:5" s="269" customFormat="1" ht="19.5" customHeight="1" x14ac:dyDescent="0.25">
      <c r="A47" s="226">
        <v>13</v>
      </c>
      <c r="B47" s="271" t="s">
        <v>63</v>
      </c>
      <c r="C47" s="272">
        <v>53445</v>
      </c>
      <c r="D47" s="272">
        <v>7760</v>
      </c>
      <c r="E47" s="272">
        <v>27310</v>
      </c>
    </row>
    <row r="48" spans="1:5" s="269" customFormat="1" ht="19.5" customHeight="1" x14ac:dyDescent="0.25">
      <c r="A48" s="226">
        <v>23</v>
      </c>
      <c r="B48" s="271" t="s">
        <v>247</v>
      </c>
      <c r="C48" s="272">
        <v>2500</v>
      </c>
      <c r="D48" s="272">
        <v>10100</v>
      </c>
      <c r="E48" s="272">
        <v>8000</v>
      </c>
    </row>
    <row r="49" spans="1:5" s="269" customFormat="1" ht="19.5" customHeight="1" x14ac:dyDescent="0.25">
      <c r="A49" s="226">
        <v>27</v>
      </c>
      <c r="B49" s="271" t="s">
        <v>248</v>
      </c>
      <c r="C49" s="272">
        <v>13000</v>
      </c>
      <c r="D49" s="272">
        <v>2000</v>
      </c>
      <c r="E49" s="272">
        <v>25800</v>
      </c>
    </row>
    <row r="50" spans="1:5" s="269" customFormat="1" ht="19.5" customHeight="1" x14ac:dyDescent="0.25">
      <c r="A50" s="226">
        <v>20</v>
      </c>
      <c r="B50" s="271" t="s">
        <v>249</v>
      </c>
      <c r="C50" s="272">
        <v>13000</v>
      </c>
      <c r="D50" s="272">
        <v>3300</v>
      </c>
      <c r="E50" s="272">
        <v>12519</v>
      </c>
    </row>
    <row r="51" spans="1:5" s="269" customFormat="1" ht="19.5" customHeight="1" x14ac:dyDescent="0.25">
      <c r="A51" s="226">
        <v>28</v>
      </c>
      <c r="B51" s="271" t="s">
        <v>11</v>
      </c>
      <c r="C51" s="272">
        <v>4100</v>
      </c>
      <c r="D51" s="272">
        <v>10800</v>
      </c>
      <c r="E51" s="272">
        <v>0</v>
      </c>
    </row>
    <row r="52" spans="1:5" s="269" customFormat="1" ht="19.5" customHeight="1" x14ac:dyDescent="0.25">
      <c r="A52" s="226">
        <v>139</v>
      </c>
      <c r="B52" s="271" t="s">
        <v>82</v>
      </c>
      <c r="C52" s="272">
        <v>620</v>
      </c>
      <c r="D52" s="272">
        <v>37700</v>
      </c>
      <c r="E52" s="272">
        <v>0</v>
      </c>
    </row>
    <row r="53" spans="1:5" s="269" customFormat="1" ht="19.5" customHeight="1" x14ac:dyDescent="0.25">
      <c r="A53" s="226">
        <v>354</v>
      </c>
      <c r="B53" s="271" t="s">
        <v>59</v>
      </c>
      <c r="C53" s="272">
        <v>264947</v>
      </c>
      <c r="D53" s="272">
        <v>65026</v>
      </c>
      <c r="E53" s="272">
        <v>140132</v>
      </c>
    </row>
    <row r="54" spans="1:5" s="269" customFormat="1" ht="19.5" customHeight="1" x14ac:dyDescent="0.25">
      <c r="A54" s="226">
        <v>466</v>
      </c>
      <c r="B54" s="271" t="s">
        <v>269</v>
      </c>
      <c r="C54" s="272">
        <v>26000</v>
      </c>
      <c r="D54" s="272">
        <v>3300</v>
      </c>
      <c r="E54" s="272">
        <v>2550</v>
      </c>
    </row>
    <row r="55" spans="1:5" s="269" customFormat="1" ht="19.5" customHeight="1" x14ac:dyDescent="0.25">
      <c r="A55" s="226">
        <v>173</v>
      </c>
      <c r="B55" s="271" t="s">
        <v>42</v>
      </c>
      <c r="C55" s="272">
        <v>6072</v>
      </c>
      <c r="D55" s="272">
        <v>16300</v>
      </c>
      <c r="E55" s="272">
        <v>283</v>
      </c>
    </row>
    <row r="56" spans="1:5" s="269" customFormat="1" ht="19.5" customHeight="1" x14ac:dyDescent="0.25">
      <c r="A56" s="226">
        <v>151</v>
      </c>
      <c r="B56" s="271" t="s">
        <v>66</v>
      </c>
      <c r="C56" s="272">
        <v>10567</v>
      </c>
      <c r="D56" s="272">
        <v>250</v>
      </c>
      <c r="E56" s="272">
        <v>3268</v>
      </c>
    </row>
    <row r="57" spans="1:5" s="269" customFormat="1" ht="19.5" customHeight="1" x14ac:dyDescent="0.25">
      <c r="A57" s="226">
        <v>463</v>
      </c>
      <c r="B57" s="271" t="s">
        <v>237</v>
      </c>
      <c r="C57" s="272">
        <v>0</v>
      </c>
      <c r="D57" s="272">
        <v>0</v>
      </c>
      <c r="E57" s="272">
        <v>0</v>
      </c>
    </row>
    <row r="58" spans="1:5" s="269" customFormat="1" ht="19.5" customHeight="1" x14ac:dyDescent="0.25">
      <c r="A58" s="226">
        <v>399</v>
      </c>
      <c r="B58" s="271" t="s">
        <v>254</v>
      </c>
      <c r="C58" s="272">
        <v>5573</v>
      </c>
      <c r="D58" s="272">
        <v>0</v>
      </c>
      <c r="E58" s="272">
        <v>100</v>
      </c>
    </row>
    <row r="59" spans="1:5" s="269" customFormat="1" ht="19.5" customHeight="1" x14ac:dyDescent="0.25">
      <c r="A59" s="226">
        <v>333</v>
      </c>
      <c r="B59" s="271" t="s">
        <v>39</v>
      </c>
      <c r="C59" s="272">
        <v>500</v>
      </c>
      <c r="D59" s="272">
        <v>0</v>
      </c>
      <c r="E59" s="272">
        <v>30</v>
      </c>
    </row>
    <row r="60" spans="1:5" s="269" customFormat="1" ht="19.5" customHeight="1" x14ac:dyDescent="0.25">
      <c r="A60" s="226">
        <v>281</v>
      </c>
      <c r="B60" s="271" t="s">
        <v>251</v>
      </c>
      <c r="C60" s="272">
        <v>0</v>
      </c>
      <c r="D60" s="272">
        <v>270</v>
      </c>
      <c r="E60" s="272">
        <v>0</v>
      </c>
    </row>
    <row r="61" spans="1:5" s="269" customFormat="1" ht="19.5" customHeight="1" x14ac:dyDescent="0.25">
      <c r="A61" s="226">
        <v>447</v>
      </c>
      <c r="B61" s="271" t="s">
        <v>38</v>
      </c>
      <c r="C61" s="272">
        <v>1137</v>
      </c>
      <c r="D61" s="272">
        <v>0</v>
      </c>
      <c r="E61" s="272">
        <v>0</v>
      </c>
    </row>
    <row r="62" spans="1:5" s="269" customFormat="1" ht="19.5" customHeight="1" x14ac:dyDescent="0.25">
      <c r="A62" s="226">
        <v>385</v>
      </c>
      <c r="B62" s="271" t="s">
        <v>252</v>
      </c>
      <c r="C62" s="272">
        <v>560</v>
      </c>
      <c r="D62" s="272">
        <v>0</v>
      </c>
      <c r="E62" s="272">
        <v>0</v>
      </c>
    </row>
    <row r="63" spans="1:5" s="269" customFormat="1" ht="19.5" customHeight="1" x14ac:dyDescent="0.25">
      <c r="A63" s="226">
        <v>432</v>
      </c>
      <c r="B63" s="271" t="s">
        <v>463</v>
      </c>
      <c r="C63" s="272">
        <v>100</v>
      </c>
      <c r="D63" s="272">
        <v>0</v>
      </c>
      <c r="E63" s="272">
        <v>0</v>
      </c>
    </row>
    <row r="64" spans="1:5" s="269" customFormat="1" ht="19.5" customHeight="1" x14ac:dyDescent="0.25">
      <c r="A64" s="226">
        <v>452</v>
      </c>
      <c r="B64" s="271" t="s">
        <v>261</v>
      </c>
      <c r="C64" s="272">
        <v>400</v>
      </c>
      <c r="D64" s="272">
        <v>0</v>
      </c>
      <c r="E64" s="272">
        <v>0</v>
      </c>
    </row>
    <row r="65" spans="1:5" s="269" customFormat="1" ht="19.5" customHeight="1" x14ac:dyDescent="0.25">
      <c r="A65" s="226">
        <v>294</v>
      </c>
      <c r="B65" s="271" t="s">
        <v>58</v>
      </c>
      <c r="C65" s="272">
        <v>1524</v>
      </c>
      <c r="D65" s="272">
        <v>50</v>
      </c>
      <c r="E65" s="272">
        <v>452</v>
      </c>
    </row>
    <row r="66" spans="1:5" s="269" customFormat="1" ht="19.5" customHeight="1" x14ac:dyDescent="0.25">
      <c r="A66" s="226">
        <v>205</v>
      </c>
      <c r="B66" s="271" t="s">
        <v>250</v>
      </c>
      <c r="C66" s="272">
        <v>38266</v>
      </c>
      <c r="D66" s="272">
        <v>300</v>
      </c>
      <c r="E66" s="272">
        <v>16795</v>
      </c>
    </row>
    <row r="67" spans="1:5" s="269" customFormat="1" ht="19.5" customHeight="1" x14ac:dyDescent="0.25">
      <c r="A67" s="226">
        <v>342</v>
      </c>
      <c r="B67" s="271" t="s">
        <v>250</v>
      </c>
      <c r="C67" s="272">
        <v>91</v>
      </c>
      <c r="D67" s="272">
        <v>0</v>
      </c>
      <c r="E67" s="272">
        <v>0</v>
      </c>
    </row>
    <row r="68" spans="1:5" s="269" customFormat="1" ht="19.5" customHeight="1" x14ac:dyDescent="0.25">
      <c r="A68" s="226">
        <v>355</v>
      </c>
      <c r="B68" s="271" t="s">
        <v>222</v>
      </c>
      <c r="C68" s="272">
        <v>4202</v>
      </c>
      <c r="D68" s="272">
        <v>5050</v>
      </c>
      <c r="E68" s="272">
        <v>94</v>
      </c>
    </row>
    <row r="69" spans="1:5" s="269" customFormat="1" ht="19.5" customHeight="1" x14ac:dyDescent="0.25">
      <c r="A69" s="226">
        <v>387</v>
      </c>
      <c r="B69" s="271" t="s">
        <v>68</v>
      </c>
      <c r="C69" s="272">
        <v>11248</v>
      </c>
      <c r="D69" s="272">
        <v>0</v>
      </c>
      <c r="E69" s="272">
        <v>0</v>
      </c>
    </row>
    <row r="70" spans="1:5" s="269" customFormat="1" ht="19.5" customHeight="1" x14ac:dyDescent="0.25">
      <c r="A70" s="226">
        <v>390</v>
      </c>
      <c r="B70" s="271" t="s">
        <v>253</v>
      </c>
      <c r="C70" s="272">
        <v>2180</v>
      </c>
      <c r="D70" s="272">
        <v>0</v>
      </c>
      <c r="E70" s="272">
        <v>0</v>
      </c>
    </row>
    <row r="71" spans="1:5" s="269" customFormat="1" ht="19.5" customHeight="1" x14ac:dyDescent="0.25">
      <c r="A71" s="226">
        <v>396</v>
      </c>
      <c r="B71" s="271" t="s">
        <v>69</v>
      </c>
      <c r="C71" s="272">
        <v>2969</v>
      </c>
      <c r="D71" s="272">
        <v>0</v>
      </c>
      <c r="E71" s="272">
        <v>0</v>
      </c>
    </row>
    <row r="72" spans="1:5" s="269" customFormat="1" ht="19.5" customHeight="1" x14ac:dyDescent="0.25">
      <c r="A72" s="226">
        <v>450</v>
      </c>
      <c r="B72" s="271" t="s">
        <v>260</v>
      </c>
      <c r="C72" s="272">
        <v>1358</v>
      </c>
      <c r="D72" s="272">
        <v>0</v>
      </c>
      <c r="E72" s="272">
        <v>0</v>
      </c>
    </row>
    <row r="73" spans="1:5" s="269" customFormat="1" ht="19.5" customHeight="1" x14ac:dyDescent="0.25">
      <c r="A73" s="226">
        <v>405</v>
      </c>
      <c r="B73" s="271" t="s">
        <v>255</v>
      </c>
      <c r="C73" s="272">
        <v>12</v>
      </c>
      <c r="D73" s="272">
        <v>0</v>
      </c>
      <c r="E73" s="272">
        <v>10</v>
      </c>
    </row>
    <row r="74" spans="1:5" s="269" customFormat="1" ht="19.5" customHeight="1" x14ac:dyDescent="0.25">
      <c r="A74" s="226">
        <v>406</v>
      </c>
      <c r="B74" s="271" t="s">
        <v>256</v>
      </c>
      <c r="C74" s="272">
        <v>880</v>
      </c>
      <c r="D74" s="272">
        <v>0</v>
      </c>
      <c r="E74" s="272">
        <v>0</v>
      </c>
    </row>
    <row r="75" spans="1:5" s="269" customFormat="1" ht="19.5" customHeight="1" x14ac:dyDescent="0.25">
      <c r="A75" s="226">
        <v>414</v>
      </c>
      <c r="B75" s="271" t="s">
        <v>257</v>
      </c>
      <c r="C75" s="272">
        <v>18900</v>
      </c>
      <c r="D75" s="272">
        <v>0</v>
      </c>
      <c r="E75" s="272">
        <v>158</v>
      </c>
    </row>
    <row r="76" spans="1:5" s="269" customFormat="1" ht="19.5" customHeight="1" x14ac:dyDescent="0.25">
      <c r="A76" s="226">
        <v>417</v>
      </c>
      <c r="B76" s="271" t="s">
        <v>90</v>
      </c>
      <c r="C76" s="272">
        <v>402</v>
      </c>
      <c r="D76" s="272">
        <v>0</v>
      </c>
      <c r="E76" s="272">
        <v>0</v>
      </c>
    </row>
    <row r="77" spans="1:5" s="269" customFormat="1" ht="19.5" customHeight="1" x14ac:dyDescent="0.25">
      <c r="A77" s="226">
        <v>419</v>
      </c>
      <c r="B77" s="271" t="s">
        <v>258</v>
      </c>
      <c r="C77" s="272">
        <v>17</v>
      </c>
      <c r="D77" s="272">
        <v>0</v>
      </c>
      <c r="E77" s="272">
        <v>0</v>
      </c>
    </row>
    <row r="78" spans="1:5" s="269" customFormat="1" x14ac:dyDescent="0.25">
      <c r="A78" s="226">
        <v>425</v>
      </c>
      <c r="B78" s="271" t="s">
        <v>56</v>
      </c>
      <c r="C78" s="272">
        <v>40</v>
      </c>
      <c r="D78" s="272">
        <v>0</v>
      </c>
      <c r="E78" s="272">
        <v>0</v>
      </c>
    </row>
    <row r="79" spans="1:5" s="269" customFormat="1" ht="21.75" customHeight="1" x14ac:dyDescent="0.25">
      <c r="A79" s="226">
        <v>429</v>
      </c>
      <c r="B79" s="271" t="s">
        <v>60</v>
      </c>
      <c r="C79" s="272">
        <v>7670</v>
      </c>
      <c r="D79" s="272">
        <v>0</v>
      </c>
      <c r="E79" s="272">
        <v>415</v>
      </c>
    </row>
    <row r="80" spans="1:5" s="269" customFormat="1" ht="19.5" customHeight="1" x14ac:dyDescent="0.25">
      <c r="A80" s="226">
        <v>431</v>
      </c>
      <c r="B80" s="271" t="s">
        <v>259</v>
      </c>
      <c r="C80" s="272">
        <v>295</v>
      </c>
      <c r="D80" s="272">
        <v>0</v>
      </c>
      <c r="E80" s="272">
        <v>0</v>
      </c>
    </row>
    <row r="81" spans="1:8" s="269" customFormat="1" ht="19.5" customHeight="1" x14ac:dyDescent="0.25">
      <c r="A81" s="273">
        <v>309</v>
      </c>
      <c r="B81" s="271" t="s">
        <v>481</v>
      </c>
      <c r="C81" s="272">
        <v>100</v>
      </c>
      <c r="D81" s="272">
        <v>0</v>
      </c>
      <c r="E81" s="272">
        <v>100</v>
      </c>
    </row>
    <row r="82" spans="1:8" s="269" customFormat="1" ht="19.5" customHeight="1" x14ac:dyDescent="0.25">
      <c r="A82" s="274"/>
      <c r="B82" s="275" t="s">
        <v>43</v>
      </c>
      <c r="C82" s="276">
        <f>SUM(C11:C81)</f>
        <v>3127810</v>
      </c>
      <c r="D82" s="276">
        <f>SUM(D11:D81)</f>
        <v>544866</v>
      </c>
      <c r="E82" s="276">
        <f>SUM(E11:E81)</f>
        <v>1211117</v>
      </c>
      <c r="G82" s="277"/>
      <c r="H82" s="277"/>
    </row>
    <row r="83" spans="1:8" s="269" customFormat="1" ht="42.75" customHeight="1" x14ac:dyDescent="0.25">
      <c r="A83" s="278">
        <v>1000</v>
      </c>
      <c r="B83" s="279" t="s">
        <v>44</v>
      </c>
      <c r="C83" s="272">
        <v>10817</v>
      </c>
      <c r="D83" s="280"/>
      <c r="E83" s="272">
        <v>24667</v>
      </c>
      <c r="F83" s="281"/>
      <c r="G83" s="277"/>
      <c r="H83" s="277"/>
    </row>
    <row r="84" spans="1:8" s="269" customFormat="1" ht="19.5" customHeight="1" x14ac:dyDescent="0.25">
      <c r="A84" s="278"/>
      <c r="B84" s="282" t="s">
        <v>45</v>
      </c>
      <c r="C84" s="283">
        <f>C82+C83</f>
        <v>3138627</v>
      </c>
      <c r="D84" s="283">
        <f>D82+D83</f>
        <v>544866</v>
      </c>
      <c r="E84" s="283">
        <f>E82+E83</f>
        <v>1235784</v>
      </c>
      <c r="G84" s="277"/>
      <c r="H84" s="277"/>
    </row>
    <row r="85" spans="1:8" s="269" customFormat="1" ht="19.5" customHeight="1" x14ac:dyDescent="0.25">
      <c r="A85" s="284"/>
      <c r="B85" s="285"/>
      <c r="C85" s="286"/>
      <c r="D85" s="286"/>
      <c r="E85" s="286"/>
      <c r="G85" s="277"/>
      <c r="H85" s="277"/>
    </row>
    <row r="86" spans="1:8" s="269" customFormat="1" ht="28.5" customHeight="1" x14ac:dyDescent="0.25">
      <c r="A86" s="284"/>
      <c r="B86" s="510" t="s">
        <v>262</v>
      </c>
      <c r="C86" s="510"/>
      <c r="D86" s="510"/>
      <c r="E86" s="510"/>
      <c r="F86" s="510"/>
      <c r="G86" s="277"/>
      <c r="H86" s="277"/>
    </row>
    <row r="87" spans="1:8" s="269" customFormat="1" ht="19.5" customHeight="1" x14ac:dyDescent="0.25">
      <c r="A87" s="518" t="s">
        <v>2</v>
      </c>
      <c r="B87" s="558" t="s">
        <v>232</v>
      </c>
      <c r="C87" s="566" t="s">
        <v>263</v>
      </c>
      <c r="D87" s="568" t="s">
        <v>184</v>
      </c>
      <c r="E87" s="569"/>
      <c r="F87" s="569"/>
      <c r="G87" s="570"/>
      <c r="H87" s="287"/>
    </row>
    <row r="88" spans="1:8" s="269" customFormat="1" ht="45" customHeight="1" x14ac:dyDescent="0.25">
      <c r="A88" s="519"/>
      <c r="B88" s="559"/>
      <c r="C88" s="567"/>
      <c r="D88" s="413" t="s">
        <v>264</v>
      </c>
      <c r="E88" s="413" t="s">
        <v>265</v>
      </c>
      <c r="F88" s="413" t="s">
        <v>266</v>
      </c>
      <c r="G88" s="288" t="s">
        <v>267</v>
      </c>
      <c r="H88" s="289"/>
    </row>
    <row r="89" spans="1:8" s="269" customFormat="1" ht="19.5" customHeight="1" x14ac:dyDescent="0.25">
      <c r="A89" s="278">
        <v>61</v>
      </c>
      <c r="B89" s="290" t="s">
        <v>48</v>
      </c>
      <c r="C89" s="272">
        <f>D89+E89+F89+G89</f>
        <v>1100</v>
      </c>
      <c r="D89" s="272">
        <v>410</v>
      </c>
      <c r="E89" s="272">
        <v>0</v>
      </c>
      <c r="F89" s="272">
        <v>640</v>
      </c>
      <c r="G89" s="272">
        <v>50</v>
      </c>
      <c r="H89" s="291"/>
    </row>
    <row r="90" spans="1:8" s="269" customFormat="1" ht="19.5" customHeight="1" x14ac:dyDescent="0.25">
      <c r="A90" s="278">
        <v>59</v>
      </c>
      <c r="B90" s="290" t="s">
        <v>29</v>
      </c>
      <c r="C90" s="272">
        <f t="shared" ref="C90:C135" si="0">D90+E90+F90+G90</f>
        <v>18400</v>
      </c>
      <c r="D90" s="272">
        <v>9200</v>
      </c>
      <c r="E90" s="272">
        <v>0</v>
      </c>
      <c r="F90" s="272">
        <v>4200</v>
      </c>
      <c r="G90" s="272">
        <v>5000</v>
      </c>
      <c r="H90" s="291"/>
    </row>
    <row r="91" spans="1:8" s="269" customFormat="1" x14ac:dyDescent="0.25">
      <c r="A91" s="278">
        <v>63</v>
      </c>
      <c r="B91" s="290" t="s">
        <v>30</v>
      </c>
      <c r="C91" s="272">
        <f t="shared" si="0"/>
        <v>4524</v>
      </c>
      <c r="D91" s="272">
        <v>4163</v>
      </c>
      <c r="E91" s="272">
        <v>0</v>
      </c>
      <c r="F91" s="272">
        <v>104</v>
      </c>
      <c r="G91" s="272">
        <v>257</v>
      </c>
      <c r="H91" s="291"/>
    </row>
    <row r="92" spans="1:8" s="269" customFormat="1" ht="19.5" customHeight="1" x14ac:dyDescent="0.25">
      <c r="A92" s="278">
        <v>65</v>
      </c>
      <c r="B92" s="290" t="s">
        <v>31</v>
      </c>
      <c r="C92" s="272">
        <f t="shared" si="0"/>
        <v>6220</v>
      </c>
      <c r="D92" s="272">
        <v>5050</v>
      </c>
      <c r="E92" s="272">
        <v>0</v>
      </c>
      <c r="F92" s="272">
        <v>450</v>
      </c>
      <c r="G92" s="272">
        <v>720</v>
      </c>
      <c r="H92" s="291"/>
    </row>
    <row r="93" spans="1:8" s="269" customFormat="1" ht="19.5" customHeight="1" x14ac:dyDescent="0.25">
      <c r="A93" s="278">
        <v>67</v>
      </c>
      <c r="B93" s="290" t="s">
        <v>61</v>
      </c>
      <c r="C93" s="272">
        <f t="shared" si="0"/>
        <v>3700</v>
      </c>
      <c r="D93" s="272">
        <v>2983</v>
      </c>
      <c r="E93" s="272">
        <v>0</v>
      </c>
      <c r="F93" s="272">
        <v>647</v>
      </c>
      <c r="G93" s="272">
        <v>70</v>
      </c>
      <c r="H93" s="291"/>
    </row>
    <row r="94" spans="1:8" s="269" customFormat="1" ht="19.5" customHeight="1" x14ac:dyDescent="0.25">
      <c r="A94" s="278">
        <v>69</v>
      </c>
      <c r="B94" s="290" t="s">
        <v>32</v>
      </c>
      <c r="C94" s="272">
        <f t="shared" si="0"/>
        <v>4445</v>
      </c>
      <c r="D94" s="272">
        <v>3294</v>
      </c>
      <c r="E94" s="272">
        <v>0</v>
      </c>
      <c r="F94" s="272">
        <v>522</v>
      </c>
      <c r="G94" s="272">
        <v>629</v>
      </c>
      <c r="H94" s="291"/>
    </row>
    <row r="95" spans="1:8" s="269" customFormat="1" ht="19.5" customHeight="1" x14ac:dyDescent="0.25">
      <c r="A95" s="278">
        <v>71</v>
      </c>
      <c r="B95" s="290" t="s">
        <v>14</v>
      </c>
      <c r="C95" s="272">
        <f t="shared" si="0"/>
        <v>5354</v>
      </c>
      <c r="D95" s="272">
        <v>3057</v>
      </c>
      <c r="E95" s="272">
        <v>0</v>
      </c>
      <c r="F95" s="272">
        <v>1413</v>
      </c>
      <c r="G95" s="272">
        <v>884</v>
      </c>
      <c r="H95" s="291"/>
    </row>
    <row r="96" spans="1:8" s="269" customFormat="1" ht="19.5" customHeight="1" x14ac:dyDescent="0.25">
      <c r="A96" s="278">
        <v>103</v>
      </c>
      <c r="B96" s="290" t="s">
        <v>15</v>
      </c>
      <c r="C96" s="272">
        <f t="shared" si="0"/>
        <v>17600</v>
      </c>
      <c r="D96" s="272">
        <v>11645</v>
      </c>
      <c r="E96" s="272">
        <v>0</v>
      </c>
      <c r="F96" s="272">
        <v>5545</v>
      </c>
      <c r="G96" s="272">
        <v>410</v>
      </c>
      <c r="H96" s="291"/>
    </row>
    <row r="97" spans="1:8" s="269" customFormat="1" ht="19.5" customHeight="1" x14ac:dyDescent="0.25">
      <c r="A97" s="278">
        <v>73</v>
      </c>
      <c r="B97" s="290" t="s">
        <v>17</v>
      </c>
      <c r="C97" s="272">
        <f t="shared" si="0"/>
        <v>2400</v>
      </c>
      <c r="D97" s="272">
        <v>1770</v>
      </c>
      <c r="E97" s="272">
        <v>0</v>
      </c>
      <c r="F97" s="272">
        <v>476</v>
      </c>
      <c r="G97" s="272">
        <v>154</v>
      </c>
      <c r="H97" s="291"/>
    </row>
    <row r="98" spans="1:8" s="269" customFormat="1" ht="19.5" customHeight="1" x14ac:dyDescent="0.25">
      <c r="A98" s="278">
        <v>232</v>
      </c>
      <c r="B98" s="290" t="s">
        <v>55</v>
      </c>
      <c r="C98" s="272">
        <f t="shared" si="0"/>
        <v>13300</v>
      </c>
      <c r="D98" s="272">
        <v>13270</v>
      </c>
      <c r="E98" s="272">
        <v>0</v>
      </c>
      <c r="F98" s="272">
        <v>0</v>
      </c>
      <c r="G98" s="272">
        <v>30</v>
      </c>
      <c r="H98" s="291"/>
    </row>
    <row r="99" spans="1:8" s="269" customFormat="1" ht="19.5" customHeight="1" x14ac:dyDescent="0.25">
      <c r="A99" s="278">
        <v>75</v>
      </c>
      <c r="B99" s="290" t="s">
        <v>62</v>
      </c>
      <c r="C99" s="272">
        <f t="shared" si="0"/>
        <v>6100</v>
      </c>
      <c r="D99" s="272">
        <v>4405</v>
      </c>
      <c r="E99" s="272">
        <v>0</v>
      </c>
      <c r="F99" s="272">
        <v>750</v>
      </c>
      <c r="G99" s="272">
        <v>945</v>
      </c>
      <c r="H99" s="291"/>
    </row>
    <row r="100" spans="1:8" s="269" customFormat="1" ht="19.5" customHeight="1" x14ac:dyDescent="0.25">
      <c r="A100" s="278">
        <v>275</v>
      </c>
      <c r="B100" s="290" t="s">
        <v>51</v>
      </c>
      <c r="C100" s="272">
        <f t="shared" si="0"/>
        <v>2900</v>
      </c>
      <c r="D100" s="272">
        <v>2148</v>
      </c>
      <c r="E100" s="272">
        <v>0</v>
      </c>
      <c r="F100" s="272">
        <v>0</v>
      </c>
      <c r="G100" s="272">
        <v>752</v>
      </c>
      <c r="H100" s="291"/>
    </row>
    <row r="101" spans="1:8" s="269" customFormat="1" ht="19.5" customHeight="1" x14ac:dyDescent="0.25">
      <c r="A101" s="278">
        <v>203</v>
      </c>
      <c r="B101" s="290" t="s">
        <v>33</v>
      </c>
      <c r="C101" s="272">
        <f t="shared" si="0"/>
        <v>2400</v>
      </c>
      <c r="D101" s="272">
        <v>750</v>
      </c>
      <c r="E101" s="272">
        <v>0</v>
      </c>
      <c r="F101" s="272">
        <v>290</v>
      </c>
      <c r="G101" s="272">
        <v>1360</v>
      </c>
      <c r="H101" s="291"/>
    </row>
    <row r="102" spans="1:8" s="269" customFormat="1" ht="19.5" customHeight="1" x14ac:dyDescent="0.25">
      <c r="A102" s="278">
        <v>79</v>
      </c>
      <c r="B102" s="290" t="s">
        <v>34</v>
      </c>
      <c r="C102" s="272">
        <f t="shared" si="0"/>
        <v>4200</v>
      </c>
      <c r="D102" s="272">
        <v>1164</v>
      </c>
      <c r="E102" s="272">
        <v>0</v>
      </c>
      <c r="F102" s="272">
        <v>1666</v>
      </c>
      <c r="G102" s="272">
        <v>1370</v>
      </c>
      <c r="H102" s="291"/>
    </row>
    <row r="103" spans="1:8" s="269" customFormat="1" ht="19.5" customHeight="1" x14ac:dyDescent="0.25">
      <c r="A103" s="278">
        <v>231</v>
      </c>
      <c r="B103" s="290" t="s">
        <v>54</v>
      </c>
      <c r="C103" s="272">
        <f t="shared" si="0"/>
        <v>2650</v>
      </c>
      <c r="D103" s="272">
        <v>1847</v>
      </c>
      <c r="E103" s="272">
        <v>0</v>
      </c>
      <c r="F103" s="272">
        <v>0</v>
      </c>
      <c r="G103" s="272">
        <v>803</v>
      </c>
      <c r="H103" s="291"/>
    </row>
    <row r="104" spans="1:8" s="269" customFormat="1" ht="19.5" customHeight="1" x14ac:dyDescent="0.25">
      <c r="A104" s="278">
        <v>115</v>
      </c>
      <c r="B104" s="290" t="s">
        <v>23</v>
      </c>
      <c r="C104" s="272">
        <f t="shared" si="0"/>
        <v>7600</v>
      </c>
      <c r="D104" s="272">
        <v>1923</v>
      </c>
      <c r="E104" s="272">
        <v>0</v>
      </c>
      <c r="F104" s="272">
        <v>5511</v>
      </c>
      <c r="G104" s="272">
        <v>166</v>
      </c>
      <c r="H104" s="291"/>
    </row>
    <row r="105" spans="1:8" s="269" customFormat="1" ht="19.5" customHeight="1" x14ac:dyDescent="0.25">
      <c r="A105" s="278">
        <v>81</v>
      </c>
      <c r="B105" s="290" t="s">
        <v>35</v>
      </c>
      <c r="C105" s="272">
        <f t="shared" si="0"/>
        <v>1100</v>
      </c>
      <c r="D105" s="272">
        <v>1045</v>
      </c>
      <c r="E105" s="272">
        <v>0</v>
      </c>
      <c r="F105" s="272">
        <v>5</v>
      </c>
      <c r="G105" s="272">
        <v>50</v>
      </c>
      <c r="H105" s="291"/>
    </row>
    <row r="106" spans="1:8" s="269" customFormat="1" ht="19.5" customHeight="1" x14ac:dyDescent="0.25">
      <c r="A106" s="278">
        <v>83</v>
      </c>
      <c r="B106" s="290" t="s">
        <v>26</v>
      </c>
      <c r="C106" s="272">
        <f t="shared" si="0"/>
        <v>2100</v>
      </c>
      <c r="D106" s="272">
        <v>1371</v>
      </c>
      <c r="E106" s="272">
        <v>0</v>
      </c>
      <c r="F106" s="272">
        <v>383</v>
      </c>
      <c r="G106" s="272">
        <v>346</v>
      </c>
      <c r="H106" s="291"/>
    </row>
    <row r="107" spans="1:8" s="269" customFormat="1" ht="19.5" customHeight="1" x14ac:dyDescent="0.25">
      <c r="A107" s="278">
        <v>85</v>
      </c>
      <c r="B107" s="290" t="s">
        <v>36</v>
      </c>
      <c r="C107" s="272">
        <f t="shared" si="0"/>
        <v>1000</v>
      </c>
      <c r="D107" s="272">
        <v>436</v>
      </c>
      <c r="E107" s="272">
        <v>0</v>
      </c>
      <c r="F107" s="272">
        <v>514</v>
      </c>
      <c r="G107" s="272">
        <v>50</v>
      </c>
      <c r="H107" s="291"/>
    </row>
    <row r="108" spans="1:8" s="269" customFormat="1" ht="19.5" customHeight="1" x14ac:dyDescent="0.25">
      <c r="A108" s="278">
        <v>87</v>
      </c>
      <c r="B108" s="290" t="s">
        <v>28</v>
      </c>
      <c r="C108" s="272">
        <f t="shared" si="0"/>
        <v>5300</v>
      </c>
      <c r="D108" s="272">
        <v>4300</v>
      </c>
      <c r="E108" s="272">
        <v>0</v>
      </c>
      <c r="F108" s="272">
        <v>560</v>
      </c>
      <c r="G108" s="272">
        <v>440</v>
      </c>
      <c r="H108" s="291"/>
    </row>
    <row r="109" spans="1:8" s="269" customFormat="1" ht="19.5" customHeight="1" x14ac:dyDescent="0.25">
      <c r="A109" s="278">
        <v>144</v>
      </c>
      <c r="B109" s="290" t="s">
        <v>24</v>
      </c>
      <c r="C109" s="272">
        <f t="shared" si="0"/>
        <v>36800</v>
      </c>
      <c r="D109" s="272">
        <v>400</v>
      </c>
      <c r="E109" s="272">
        <v>0</v>
      </c>
      <c r="F109" s="272">
        <v>36400</v>
      </c>
      <c r="G109" s="272">
        <v>0</v>
      </c>
      <c r="H109" s="291"/>
    </row>
    <row r="110" spans="1:8" s="269" customFormat="1" ht="19.5" customHeight="1" x14ac:dyDescent="0.25">
      <c r="A110" s="278">
        <v>292</v>
      </c>
      <c r="B110" s="290" t="s">
        <v>22</v>
      </c>
      <c r="C110" s="272">
        <f t="shared" si="0"/>
        <v>1200</v>
      </c>
      <c r="D110" s="272">
        <v>0</v>
      </c>
      <c r="E110" s="272">
        <v>0</v>
      </c>
      <c r="F110" s="272">
        <v>1200</v>
      </c>
      <c r="G110" s="272">
        <v>0</v>
      </c>
      <c r="H110" s="291"/>
    </row>
    <row r="111" spans="1:8" s="269" customFormat="1" ht="21.75" customHeight="1" x14ac:dyDescent="0.25">
      <c r="A111" s="278">
        <v>29</v>
      </c>
      <c r="B111" s="290" t="s">
        <v>190</v>
      </c>
      <c r="C111" s="272">
        <f t="shared" si="0"/>
        <v>3200</v>
      </c>
      <c r="D111" s="272">
        <v>3200</v>
      </c>
      <c r="E111" s="272">
        <v>0</v>
      </c>
      <c r="F111" s="272">
        <v>0</v>
      </c>
      <c r="G111" s="272">
        <v>0</v>
      </c>
      <c r="H111" s="291"/>
    </row>
    <row r="112" spans="1:8" s="269" customFormat="1" ht="21.75" customHeight="1" x14ac:dyDescent="0.25">
      <c r="A112" s="278">
        <v>33</v>
      </c>
      <c r="B112" s="290" t="s">
        <v>49</v>
      </c>
      <c r="C112" s="272">
        <f t="shared" si="0"/>
        <v>65350</v>
      </c>
      <c r="D112" s="272">
        <v>16296</v>
      </c>
      <c r="E112" s="272">
        <v>16622</v>
      </c>
      <c r="F112" s="272">
        <v>31381</v>
      </c>
      <c r="G112" s="272">
        <v>1051</v>
      </c>
      <c r="H112" s="291"/>
    </row>
    <row r="113" spans="1:8" s="269" customFormat="1" ht="21.75" customHeight="1" x14ac:dyDescent="0.25">
      <c r="A113" s="278">
        <v>35</v>
      </c>
      <c r="B113" s="290" t="s">
        <v>50</v>
      </c>
      <c r="C113" s="272">
        <f t="shared" si="0"/>
        <v>12050</v>
      </c>
      <c r="D113" s="272">
        <v>11616</v>
      </c>
      <c r="E113" s="272">
        <v>0</v>
      </c>
      <c r="F113" s="272">
        <v>0</v>
      </c>
      <c r="G113" s="272">
        <v>434</v>
      </c>
      <c r="H113" s="291"/>
    </row>
    <row r="114" spans="1:8" s="269" customFormat="1" ht="21.75" customHeight="1" x14ac:dyDescent="0.25">
      <c r="A114" s="278">
        <v>140</v>
      </c>
      <c r="B114" s="290" t="s">
        <v>244</v>
      </c>
      <c r="C114" s="272">
        <f t="shared" si="0"/>
        <v>64440</v>
      </c>
      <c r="D114" s="272">
        <v>32160</v>
      </c>
      <c r="E114" s="272">
        <v>9442</v>
      </c>
      <c r="F114" s="272">
        <v>22838</v>
      </c>
      <c r="G114" s="272">
        <v>0</v>
      </c>
      <c r="H114" s="291"/>
    </row>
    <row r="115" spans="1:8" s="269" customFormat="1" ht="21.75" customHeight="1" x14ac:dyDescent="0.25">
      <c r="A115" s="278">
        <v>49</v>
      </c>
      <c r="B115" s="290" t="s">
        <v>18</v>
      </c>
      <c r="C115" s="272">
        <f t="shared" si="0"/>
        <v>10050</v>
      </c>
      <c r="D115" s="272">
        <v>10050</v>
      </c>
      <c r="E115" s="272">
        <v>0</v>
      </c>
      <c r="F115" s="272">
        <v>0</v>
      </c>
      <c r="G115" s="272">
        <v>0</v>
      </c>
      <c r="H115" s="291"/>
    </row>
    <row r="116" spans="1:8" s="269" customFormat="1" ht="21.75" customHeight="1" x14ac:dyDescent="0.25">
      <c r="A116" s="278">
        <v>142</v>
      </c>
      <c r="B116" s="290" t="s">
        <v>464</v>
      </c>
      <c r="C116" s="272">
        <f t="shared" si="0"/>
        <v>3300</v>
      </c>
      <c r="D116" s="272">
        <v>0</v>
      </c>
      <c r="E116" s="272">
        <v>0</v>
      </c>
      <c r="F116" s="272">
        <v>3300</v>
      </c>
      <c r="G116" s="272">
        <v>0</v>
      </c>
      <c r="H116" s="291"/>
    </row>
    <row r="117" spans="1:8" s="269" customFormat="1" ht="21.75" customHeight="1" x14ac:dyDescent="0.25">
      <c r="A117" s="278">
        <v>129</v>
      </c>
      <c r="B117" s="290" t="s">
        <v>230</v>
      </c>
      <c r="C117" s="272">
        <f t="shared" si="0"/>
        <v>5786</v>
      </c>
      <c r="D117" s="272">
        <v>0</v>
      </c>
      <c r="E117" s="272">
        <v>0</v>
      </c>
      <c r="F117" s="272">
        <v>5786</v>
      </c>
      <c r="G117" s="272">
        <v>0</v>
      </c>
      <c r="H117" s="291"/>
    </row>
    <row r="118" spans="1:8" s="269" customFormat="1" ht="21.75" customHeight="1" x14ac:dyDescent="0.25">
      <c r="A118" s="278">
        <v>133</v>
      </c>
      <c r="B118" s="292" t="s">
        <v>465</v>
      </c>
      <c r="C118" s="272">
        <f t="shared" si="0"/>
        <v>5200</v>
      </c>
      <c r="D118" s="272">
        <v>437</v>
      </c>
      <c r="E118" s="272">
        <v>0</v>
      </c>
      <c r="F118" s="272">
        <v>4763</v>
      </c>
      <c r="G118" s="272">
        <v>0</v>
      </c>
      <c r="H118" s="291"/>
    </row>
    <row r="119" spans="1:8" s="269" customFormat="1" ht="21.75" customHeight="1" x14ac:dyDescent="0.25">
      <c r="A119" s="278">
        <v>135</v>
      </c>
      <c r="B119" s="290" t="s">
        <v>245</v>
      </c>
      <c r="C119" s="272">
        <f t="shared" si="0"/>
        <v>10250</v>
      </c>
      <c r="D119" s="272">
        <v>6514</v>
      </c>
      <c r="E119" s="272">
        <v>0</v>
      </c>
      <c r="F119" s="272">
        <v>3736</v>
      </c>
      <c r="G119" s="272">
        <v>0</v>
      </c>
      <c r="H119" s="291"/>
    </row>
    <row r="120" spans="1:8" s="269" customFormat="1" ht="21.75" customHeight="1" x14ac:dyDescent="0.25">
      <c r="A120" s="278">
        <v>4</v>
      </c>
      <c r="B120" s="290" t="s">
        <v>53</v>
      </c>
      <c r="C120" s="272">
        <f t="shared" si="0"/>
        <v>14755</v>
      </c>
      <c r="D120" s="272">
        <v>14755</v>
      </c>
      <c r="E120" s="272">
        <v>0</v>
      </c>
      <c r="F120" s="272">
        <v>0</v>
      </c>
      <c r="G120" s="272">
        <v>0</v>
      </c>
      <c r="H120" s="291"/>
    </row>
    <row r="121" spans="1:8" s="269" customFormat="1" ht="21.75" customHeight="1" x14ac:dyDescent="0.25">
      <c r="A121" s="278">
        <v>10</v>
      </c>
      <c r="B121" s="290" t="s">
        <v>246</v>
      </c>
      <c r="C121" s="272">
        <f t="shared" si="0"/>
        <v>37886</v>
      </c>
      <c r="D121" s="272">
        <v>24343</v>
      </c>
      <c r="E121" s="272">
        <v>7446</v>
      </c>
      <c r="F121" s="272">
        <v>0</v>
      </c>
      <c r="G121" s="272">
        <v>6097</v>
      </c>
      <c r="H121" s="291"/>
    </row>
    <row r="122" spans="1:8" s="269" customFormat="1" ht="21.75" customHeight="1" x14ac:dyDescent="0.25">
      <c r="A122" s="278">
        <v>13</v>
      </c>
      <c r="B122" s="290" t="s">
        <v>63</v>
      </c>
      <c r="C122" s="272">
        <f t="shared" si="0"/>
        <v>7760</v>
      </c>
      <c r="D122" s="272">
        <v>7645</v>
      </c>
      <c r="E122" s="272">
        <v>0</v>
      </c>
      <c r="F122" s="272">
        <v>0</v>
      </c>
      <c r="G122" s="272">
        <v>115</v>
      </c>
      <c r="H122" s="291"/>
    </row>
    <row r="123" spans="1:8" s="269" customFormat="1" ht="21.75" customHeight="1" x14ac:dyDescent="0.25">
      <c r="A123" s="278">
        <v>23</v>
      </c>
      <c r="B123" s="290" t="s">
        <v>247</v>
      </c>
      <c r="C123" s="272">
        <f t="shared" si="0"/>
        <v>10100</v>
      </c>
      <c r="D123" s="272">
        <v>0</v>
      </c>
      <c r="E123" s="272">
        <v>0</v>
      </c>
      <c r="F123" s="272">
        <v>0</v>
      </c>
      <c r="G123" s="272">
        <v>10100</v>
      </c>
      <c r="H123" s="291"/>
    </row>
    <row r="124" spans="1:8" s="269" customFormat="1" ht="21.75" customHeight="1" x14ac:dyDescent="0.25">
      <c r="A124" s="278">
        <v>27</v>
      </c>
      <c r="B124" s="290" t="s">
        <v>248</v>
      </c>
      <c r="C124" s="272">
        <f t="shared" si="0"/>
        <v>2000</v>
      </c>
      <c r="D124" s="272">
        <v>0</v>
      </c>
      <c r="E124" s="272">
        <v>0</v>
      </c>
      <c r="F124" s="272">
        <v>0</v>
      </c>
      <c r="G124" s="272">
        <v>2000</v>
      </c>
      <c r="H124" s="291"/>
    </row>
    <row r="125" spans="1:8" s="269" customFormat="1" ht="21.75" customHeight="1" x14ac:dyDescent="0.25">
      <c r="A125" s="278">
        <v>20</v>
      </c>
      <c r="B125" s="290" t="s">
        <v>249</v>
      </c>
      <c r="C125" s="272">
        <f t="shared" si="0"/>
        <v>3300</v>
      </c>
      <c r="D125" s="272">
        <v>0</v>
      </c>
      <c r="E125" s="272">
        <v>0</v>
      </c>
      <c r="F125" s="272">
        <v>0</v>
      </c>
      <c r="G125" s="272">
        <v>3300</v>
      </c>
      <c r="H125" s="291"/>
    </row>
    <row r="126" spans="1:8" s="269" customFormat="1" ht="21.75" customHeight="1" x14ac:dyDescent="0.25">
      <c r="A126" s="278">
        <v>28</v>
      </c>
      <c r="B126" s="290" t="s">
        <v>11</v>
      </c>
      <c r="C126" s="272">
        <f t="shared" si="0"/>
        <v>10800</v>
      </c>
      <c r="D126" s="272">
        <v>0</v>
      </c>
      <c r="E126" s="272">
        <v>0</v>
      </c>
      <c r="F126" s="272">
        <v>10800</v>
      </c>
      <c r="G126" s="272">
        <v>0</v>
      </c>
      <c r="H126" s="291"/>
    </row>
    <row r="127" spans="1:8" s="269" customFormat="1" ht="21.75" customHeight="1" x14ac:dyDescent="0.25">
      <c r="A127" s="278">
        <v>139</v>
      </c>
      <c r="B127" s="290" t="s">
        <v>82</v>
      </c>
      <c r="C127" s="272">
        <f t="shared" si="0"/>
        <v>37700</v>
      </c>
      <c r="D127" s="272">
        <v>0</v>
      </c>
      <c r="E127" s="272">
        <v>15364</v>
      </c>
      <c r="F127" s="272">
        <v>22336</v>
      </c>
      <c r="G127" s="272">
        <v>0</v>
      </c>
      <c r="H127" s="291"/>
    </row>
    <row r="128" spans="1:8" s="269" customFormat="1" ht="21.75" customHeight="1" x14ac:dyDescent="0.25">
      <c r="A128" s="278">
        <v>354</v>
      </c>
      <c r="B128" s="290" t="s">
        <v>59</v>
      </c>
      <c r="C128" s="272">
        <f t="shared" si="0"/>
        <v>65026</v>
      </c>
      <c r="D128" s="272">
        <v>44321</v>
      </c>
      <c r="E128" s="272">
        <v>6421</v>
      </c>
      <c r="F128" s="272">
        <v>9709</v>
      </c>
      <c r="G128" s="272">
        <v>4575</v>
      </c>
      <c r="H128" s="291"/>
    </row>
    <row r="129" spans="1:8" s="269" customFormat="1" ht="21.75" customHeight="1" x14ac:dyDescent="0.25">
      <c r="A129" s="226">
        <v>466</v>
      </c>
      <c r="B129" s="271" t="s">
        <v>269</v>
      </c>
      <c r="C129" s="272">
        <f t="shared" si="0"/>
        <v>3300</v>
      </c>
      <c r="D129" s="272">
        <v>0</v>
      </c>
      <c r="E129" s="272">
        <v>0</v>
      </c>
      <c r="F129" s="272">
        <v>3300</v>
      </c>
      <c r="G129" s="272">
        <v>0</v>
      </c>
      <c r="H129" s="291"/>
    </row>
    <row r="130" spans="1:8" s="269" customFormat="1" ht="21.75" customHeight="1" x14ac:dyDescent="0.25">
      <c r="A130" s="278">
        <v>173</v>
      </c>
      <c r="B130" s="290" t="s">
        <v>42</v>
      </c>
      <c r="C130" s="272">
        <f t="shared" si="0"/>
        <v>16300</v>
      </c>
      <c r="D130" s="272">
        <v>0</v>
      </c>
      <c r="E130" s="272">
        <v>0</v>
      </c>
      <c r="F130" s="272">
        <v>16300</v>
      </c>
      <c r="G130" s="272">
        <v>0</v>
      </c>
      <c r="H130" s="291"/>
    </row>
    <row r="131" spans="1:8" s="269" customFormat="1" ht="21.75" customHeight="1" x14ac:dyDescent="0.25">
      <c r="A131" s="278">
        <v>151</v>
      </c>
      <c r="B131" s="290" t="s">
        <v>66</v>
      </c>
      <c r="C131" s="272">
        <f t="shared" si="0"/>
        <v>250</v>
      </c>
      <c r="D131" s="272">
        <v>50</v>
      </c>
      <c r="E131" s="272">
        <v>0</v>
      </c>
      <c r="F131" s="272">
        <v>0</v>
      </c>
      <c r="G131" s="272">
        <v>200</v>
      </c>
      <c r="H131" s="291"/>
    </row>
    <row r="132" spans="1:8" s="269" customFormat="1" ht="21.75" customHeight="1" x14ac:dyDescent="0.25">
      <c r="A132" s="278">
        <v>281</v>
      </c>
      <c r="B132" s="290" t="s">
        <v>251</v>
      </c>
      <c r="C132" s="272">
        <f t="shared" si="0"/>
        <v>270</v>
      </c>
      <c r="D132" s="272">
        <v>0</v>
      </c>
      <c r="E132" s="272">
        <v>0</v>
      </c>
      <c r="F132" s="272">
        <v>0</v>
      </c>
      <c r="G132" s="272">
        <v>270</v>
      </c>
      <c r="H132" s="291"/>
    </row>
    <row r="133" spans="1:8" s="269" customFormat="1" ht="21.75" customHeight="1" x14ac:dyDescent="0.25">
      <c r="A133" s="278">
        <v>294</v>
      </c>
      <c r="B133" s="290" t="s">
        <v>58</v>
      </c>
      <c r="C133" s="272">
        <f t="shared" si="0"/>
        <v>50</v>
      </c>
      <c r="D133" s="272">
        <v>50</v>
      </c>
      <c r="E133" s="272">
        <v>0</v>
      </c>
      <c r="F133" s="272">
        <v>0</v>
      </c>
      <c r="G133" s="272">
        <v>0</v>
      </c>
      <c r="H133" s="291"/>
    </row>
    <row r="134" spans="1:8" s="269" customFormat="1" ht="21.75" customHeight="1" x14ac:dyDescent="0.25">
      <c r="A134" s="278">
        <v>205</v>
      </c>
      <c r="B134" s="290" t="s">
        <v>250</v>
      </c>
      <c r="C134" s="272">
        <f t="shared" si="0"/>
        <v>300</v>
      </c>
      <c r="D134" s="272">
        <v>300</v>
      </c>
      <c r="E134" s="272">
        <v>0</v>
      </c>
      <c r="F134" s="272">
        <v>0</v>
      </c>
      <c r="G134" s="272">
        <v>0</v>
      </c>
      <c r="H134" s="291"/>
    </row>
    <row r="135" spans="1:8" s="269" customFormat="1" ht="21.75" customHeight="1" x14ac:dyDescent="0.25">
      <c r="A135" s="278">
        <v>355</v>
      </c>
      <c r="B135" s="290" t="s">
        <v>222</v>
      </c>
      <c r="C135" s="272">
        <f t="shared" si="0"/>
        <v>5050</v>
      </c>
      <c r="D135" s="272">
        <v>0</v>
      </c>
      <c r="E135" s="272">
        <v>5050</v>
      </c>
      <c r="F135" s="272">
        <v>0</v>
      </c>
      <c r="G135" s="272">
        <v>0</v>
      </c>
      <c r="H135" s="291"/>
    </row>
    <row r="136" spans="1:8" s="269" customFormat="1" ht="21.75" customHeight="1" x14ac:dyDescent="0.25">
      <c r="A136" s="278"/>
      <c r="B136" s="293" t="s">
        <v>43</v>
      </c>
      <c r="C136" s="294">
        <f>SUM(C89:C135)</f>
        <v>544866</v>
      </c>
      <c r="D136" s="294">
        <f>SUM(D89:D135)</f>
        <v>246368</v>
      </c>
      <c r="E136" s="294">
        <f>SUM(E89:E135)</f>
        <v>60345</v>
      </c>
      <c r="F136" s="294">
        <f>SUM(F89:F135)</f>
        <v>195525</v>
      </c>
      <c r="G136" s="294">
        <f>SUM(G89:G135)</f>
        <v>42628</v>
      </c>
      <c r="H136" s="286"/>
    </row>
    <row r="137" spans="1:8" s="269" customFormat="1" ht="21.75" customHeight="1" x14ac:dyDescent="0.25">
      <c r="A137" s="284"/>
      <c r="B137" s="295"/>
      <c r="C137" s="296"/>
      <c r="D137" s="296"/>
      <c r="E137" s="296"/>
    </row>
    <row r="138" spans="1:8" s="269" customFormat="1" ht="27" customHeight="1" x14ac:dyDescent="0.25">
      <c r="A138" s="297"/>
      <c r="B138" s="510" t="s">
        <v>270</v>
      </c>
      <c r="C138" s="510"/>
      <c r="D138" s="510"/>
      <c r="E138" s="510"/>
      <c r="F138" s="510"/>
      <c r="G138" s="298"/>
      <c r="H138" s="298"/>
    </row>
    <row r="139" spans="1:8" s="269" customFormat="1" ht="21.75" customHeight="1" x14ac:dyDescent="0.25">
      <c r="A139" s="518" t="s">
        <v>2</v>
      </c>
      <c r="B139" s="558" t="s">
        <v>232</v>
      </c>
      <c r="C139" s="560" t="s">
        <v>271</v>
      </c>
      <c r="D139" s="560" t="s">
        <v>241</v>
      </c>
      <c r="E139" s="560" t="s">
        <v>272</v>
      </c>
      <c r="F139" s="299" t="s">
        <v>184</v>
      </c>
      <c r="G139" s="277"/>
      <c r="H139" s="277"/>
    </row>
    <row r="140" spans="1:8" s="269" customFormat="1" ht="45" customHeight="1" x14ac:dyDescent="0.25">
      <c r="A140" s="519"/>
      <c r="B140" s="559"/>
      <c r="C140" s="561"/>
      <c r="D140" s="561"/>
      <c r="E140" s="561"/>
      <c r="F140" s="300" t="s">
        <v>273</v>
      </c>
      <c r="G140" s="301"/>
      <c r="H140" s="301"/>
    </row>
    <row r="141" spans="1:8" s="269" customFormat="1" ht="21.75" customHeight="1" x14ac:dyDescent="0.25">
      <c r="A141" s="302">
        <v>61</v>
      </c>
      <c r="B141" s="303" t="s">
        <v>48</v>
      </c>
      <c r="C141" s="272">
        <v>65</v>
      </c>
      <c r="D141" s="272">
        <v>50</v>
      </c>
      <c r="E141" s="272">
        <v>5371</v>
      </c>
      <c r="F141" s="270"/>
    </row>
    <row r="142" spans="1:8" s="269" customFormat="1" ht="23.25" customHeight="1" x14ac:dyDescent="0.25">
      <c r="A142" s="302">
        <v>59</v>
      </c>
      <c r="B142" s="303" t="s">
        <v>29</v>
      </c>
      <c r="C142" s="272">
        <v>3605</v>
      </c>
      <c r="D142" s="272">
        <v>5000</v>
      </c>
      <c r="E142" s="272">
        <v>14240</v>
      </c>
      <c r="F142" s="272">
        <v>1500</v>
      </c>
    </row>
    <row r="143" spans="1:8" s="269" customFormat="1" ht="24.75" customHeight="1" x14ac:dyDescent="0.25">
      <c r="A143" s="302">
        <v>63</v>
      </c>
      <c r="B143" s="303" t="s">
        <v>30</v>
      </c>
      <c r="C143" s="272">
        <v>334</v>
      </c>
      <c r="D143" s="272">
        <v>257</v>
      </c>
      <c r="E143" s="272">
        <v>5058</v>
      </c>
      <c r="F143" s="270"/>
    </row>
    <row r="144" spans="1:8" s="269" customFormat="1" ht="14.25" customHeight="1" x14ac:dyDescent="0.25">
      <c r="A144" s="302">
        <v>65</v>
      </c>
      <c r="B144" s="303" t="s">
        <v>31</v>
      </c>
      <c r="C144" s="272">
        <v>4217</v>
      </c>
      <c r="D144" s="272">
        <v>720</v>
      </c>
      <c r="E144" s="272">
        <v>7703</v>
      </c>
      <c r="F144" s="270"/>
    </row>
    <row r="145" spans="1:6" s="269" customFormat="1" x14ac:dyDescent="0.25">
      <c r="A145" s="302">
        <v>67</v>
      </c>
      <c r="B145" s="303" t="s">
        <v>61</v>
      </c>
      <c r="C145" s="272">
        <v>3516</v>
      </c>
      <c r="D145" s="272">
        <v>70</v>
      </c>
      <c r="E145" s="272">
        <v>2135</v>
      </c>
      <c r="F145" s="270"/>
    </row>
    <row r="146" spans="1:6" s="269" customFormat="1" ht="21" customHeight="1" x14ac:dyDescent="0.25">
      <c r="A146" s="302">
        <v>69</v>
      </c>
      <c r="B146" s="303" t="s">
        <v>32</v>
      </c>
      <c r="C146" s="272">
        <v>4116</v>
      </c>
      <c r="D146" s="272">
        <v>629</v>
      </c>
      <c r="E146" s="272">
        <v>3508</v>
      </c>
      <c r="F146" s="272">
        <v>100</v>
      </c>
    </row>
    <row r="147" spans="1:6" s="269" customFormat="1" ht="21" customHeight="1" x14ac:dyDescent="0.25">
      <c r="A147" s="302">
        <v>71</v>
      </c>
      <c r="B147" s="303" t="s">
        <v>14</v>
      </c>
      <c r="C147" s="272">
        <v>5633</v>
      </c>
      <c r="D147" s="272">
        <v>884</v>
      </c>
      <c r="E147" s="272">
        <v>6185</v>
      </c>
      <c r="F147" s="270"/>
    </row>
    <row r="148" spans="1:6" s="269" customFormat="1" ht="21" customHeight="1" x14ac:dyDescent="0.25">
      <c r="A148" s="302">
        <v>103</v>
      </c>
      <c r="B148" s="303" t="s">
        <v>15</v>
      </c>
      <c r="C148" s="272">
        <v>11328</v>
      </c>
      <c r="D148" s="272">
        <v>410</v>
      </c>
      <c r="E148" s="272">
        <v>26605</v>
      </c>
      <c r="F148" s="270"/>
    </row>
    <row r="149" spans="1:6" s="269" customFormat="1" ht="21" customHeight="1" x14ac:dyDescent="0.25">
      <c r="A149" s="302">
        <v>73</v>
      </c>
      <c r="B149" s="303" t="s">
        <v>17</v>
      </c>
      <c r="C149" s="272">
        <v>3854</v>
      </c>
      <c r="D149" s="272">
        <v>154</v>
      </c>
      <c r="E149" s="272">
        <v>4187</v>
      </c>
      <c r="F149" s="270"/>
    </row>
    <row r="150" spans="1:6" s="269" customFormat="1" ht="21.75" customHeight="1" x14ac:dyDescent="0.25">
      <c r="A150" s="302">
        <v>232</v>
      </c>
      <c r="B150" s="303" t="s">
        <v>55</v>
      </c>
      <c r="C150" s="272">
        <v>2943</v>
      </c>
      <c r="D150" s="272">
        <v>30</v>
      </c>
      <c r="E150" s="272">
        <v>2580</v>
      </c>
      <c r="F150" s="270"/>
    </row>
    <row r="151" spans="1:6" s="269" customFormat="1" ht="21" customHeight="1" x14ac:dyDescent="0.25">
      <c r="A151" s="302">
        <v>75</v>
      </c>
      <c r="B151" s="303" t="s">
        <v>62</v>
      </c>
      <c r="C151" s="272">
        <v>1508</v>
      </c>
      <c r="D151" s="272">
        <v>945</v>
      </c>
      <c r="E151" s="272">
        <v>4896</v>
      </c>
      <c r="F151" s="270"/>
    </row>
    <row r="152" spans="1:6" s="269" customFormat="1" ht="21" customHeight="1" x14ac:dyDescent="0.25">
      <c r="A152" s="302">
        <v>275</v>
      </c>
      <c r="B152" s="303" t="s">
        <v>51</v>
      </c>
      <c r="C152" s="272">
        <v>598</v>
      </c>
      <c r="D152" s="272">
        <v>752</v>
      </c>
      <c r="E152" s="272">
        <v>226</v>
      </c>
      <c r="F152" s="270"/>
    </row>
    <row r="153" spans="1:6" s="269" customFormat="1" ht="21" customHeight="1" x14ac:dyDescent="0.25">
      <c r="A153" s="302">
        <v>203</v>
      </c>
      <c r="B153" s="303" t="s">
        <v>33</v>
      </c>
      <c r="C153" s="272">
        <v>389</v>
      </c>
      <c r="D153" s="272">
        <v>1360</v>
      </c>
      <c r="E153" s="272">
        <v>5581</v>
      </c>
      <c r="F153" s="270"/>
    </row>
    <row r="154" spans="1:6" s="269" customFormat="1" ht="21" customHeight="1" x14ac:dyDescent="0.25">
      <c r="A154" s="302">
        <v>79</v>
      </c>
      <c r="B154" s="303" t="s">
        <v>34</v>
      </c>
      <c r="C154" s="272">
        <v>1750</v>
      </c>
      <c r="D154" s="272">
        <v>1370</v>
      </c>
      <c r="E154" s="272">
        <v>9325</v>
      </c>
      <c r="F154" s="270"/>
    </row>
    <row r="155" spans="1:6" s="269" customFormat="1" ht="21" customHeight="1" x14ac:dyDescent="0.25">
      <c r="A155" s="302">
        <v>231</v>
      </c>
      <c r="B155" s="303" t="s">
        <v>54</v>
      </c>
      <c r="C155" s="272">
        <v>3177</v>
      </c>
      <c r="D155" s="272">
        <v>803</v>
      </c>
      <c r="E155" s="272">
        <v>4920</v>
      </c>
      <c r="F155" s="270"/>
    </row>
    <row r="156" spans="1:6" s="269" customFormat="1" ht="21" customHeight="1" x14ac:dyDescent="0.25">
      <c r="A156" s="302">
        <v>115</v>
      </c>
      <c r="B156" s="303" t="s">
        <v>23</v>
      </c>
      <c r="C156" s="272">
        <v>4968</v>
      </c>
      <c r="D156" s="272">
        <v>166</v>
      </c>
      <c r="E156" s="272">
        <v>11810</v>
      </c>
      <c r="F156" s="270"/>
    </row>
    <row r="157" spans="1:6" s="269" customFormat="1" ht="21" customHeight="1" x14ac:dyDescent="0.25">
      <c r="A157" s="302">
        <v>81</v>
      </c>
      <c r="B157" s="303" t="s">
        <v>35</v>
      </c>
      <c r="C157" s="272">
        <v>401</v>
      </c>
      <c r="D157" s="272">
        <v>50</v>
      </c>
      <c r="E157" s="272">
        <v>3571</v>
      </c>
      <c r="F157" s="270"/>
    </row>
    <row r="158" spans="1:6" s="269" customFormat="1" ht="21" customHeight="1" x14ac:dyDescent="0.25">
      <c r="A158" s="302">
        <v>83</v>
      </c>
      <c r="B158" s="303" t="s">
        <v>26</v>
      </c>
      <c r="C158" s="272">
        <v>1505</v>
      </c>
      <c r="D158" s="272">
        <v>346</v>
      </c>
      <c r="E158" s="272">
        <v>4838</v>
      </c>
      <c r="F158" s="272">
        <v>935</v>
      </c>
    </row>
    <row r="159" spans="1:6" s="269" customFormat="1" ht="21" customHeight="1" x14ac:dyDescent="0.25">
      <c r="A159" s="302">
        <v>85</v>
      </c>
      <c r="B159" s="303" t="s">
        <v>36</v>
      </c>
      <c r="C159" s="272">
        <v>550</v>
      </c>
      <c r="D159" s="272">
        <v>50</v>
      </c>
      <c r="E159" s="272">
        <v>7422</v>
      </c>
      <c r="F159" s="270"/>
    </row>
    <row r="160" spans="1:6" s="269" customFormat="1" ht="21" customHeight="1" x14ac:dyDescent="0.25">
      <c r="A160" s="302">
        <v>87</v>
      </c>
      <c r="B160" s="303" t="s">
        <v>28</v>
      </c>
      <c r="C160" s="272">
        <v>3470</v>
      </c>
      <c r="D160" s="272">
        <v>440</v>
      </c>
      <c r="E160" s="272">
        <v>7053</v>
      </c>
      <c r="F160" s="270"/>
    </row>
    <row r="161" spans="1:8" s="269" customFormat="1" ht="21" customHeight="1" x14ac:dyDescent="0.25">
      <c r="A161" s="302">
        <v>33</v>
      </c>
      <c r="B161" s="303" t="s">
        <v>49</v>
      </c>
      <c r="C161" s="272">
        <v>3000</v>
      </c>
      <c r="D161" s="272">
        <v>1051</v>
      </c>
      <c r="E161" s="272">
        <v>5500</v>
      </c>
      <c r="F161" s="270"/>
    </row>
    <row r="162" spans="1:8" s="269" customFormat="1" ht="21" customHeight="1" x14ac:dyDescent="0.25">
      <c r="A162" s="302">
        <v>35</v>
      </c>
      <c r="B162" s="303" t="s">
        <v>50</v>
      </c>
      <c r="C162" s="272">
        <v>2400</v>
      </c>
      <c r="D162" s="272">
        <v>434</v>
      </c>
      <c r="E162" s="272">
        <v>15402</v>
      </c>
      <c r="F162" s="270"/>
    </row>
    <row r="163" spans="1:8" s="269" customFormat="1" ht="21" customHeight="1" x14ac:dyDescent="0.25">
      <c r="A163" s="304">
        <v>10</v>
      </c>
      <c r="B163" s="305" t="s">
        <v>246</v>
      </c>
      <c r="C163" s="272">
        <v>7606</v>
      </c>
      <c r="D163" s="272">
        <v>6097</v>
      </c>
      <c r="E163" s="272">
        <v>20077</v>
      </c>
      <c r="F163" s="270"/>
    </row>
    <row r="164" spans="1:8" s="269" customFormat="1" ht="21" customHeight="1" x14ac:dyDescent="0.25">
      <c r="A164" s="304">
        <v>13</v>
      </c>
      <c r="B164" s="305" t="s">
        <v>63</v>
      </c>
      <c r="C164" s="272">
        <v>2132</v>
      </c>
      <c r="D164" s="272">
        <v>115</v>
      </c>
      <c r="E164" s="272">
        <v>7300</v>
      </c>
      <c r="F164" s="270"/>
    </row>
    <row r="165" spans="1:8" s="269" customFormat="1" ht="21" customHeight="1" x14ac:dyDescent="0.25">
      <c r="A165" s="304">
        <v>23</v>
      </c>
      <c r="B165" s="305" t="s">
        <v>247</v>
      </c>
      <c r="C165" s="272">
        <v>2500</v>
      </c>
      <c r="D165" s="272">
        <v>10100</v>
      </c>
      <c r="E165" s="272">
        <v>23200</v>
      </c>
      <c r="F165" s="270"/>
    </row>
    <row r="166" spans="1:8" s="269" customFormat="1" ht="21" customHeight="1" x14ac:dyDescent="0.25">
      <c r="A166" s="304">
        <v>27</v>
      </c>
      <c r="B166" s="305" t="s">
        <v>248</v>
      </c>
      <c r="C166" s="272">
        <v>13000</v>
      </c>
      <c r="D166" s="272">
        <v>2000</v>
      </c>
      <c r="E166" s="272">
        <v>82560</v>
      </c>
      <c r="F166" s="272">
        <v>200</v>
      </c>
    </row>
    <row r="167" spans="1:8" s="269" customFormat="1" ht="21" customHeight="1" x14ac:dyDescent="0.25">
      <c r="A167" s="304">
        <v>20</v>
      </c>
      <c r="B167" s="305" t="s">
        <v>249</v>
      </c>
      <c r="C167" s="272">
        <v>12400</v>
      </c>
      <c r="D167" s="272">
        <v>3300</v>
      </c>
      <c r="E167" s="272">
        <v>40060</v>
      </c>
      <c r="F167" s="270"/>
    </row>
    <row r="168" spans="1:8" s="269" customFormat="1" ht="21" customHeight="1" x14ac:dyDescent="0.25">
      <c r="A168" s="304">
        <v>354</v>
      </c>
      <c r="B168" s="305" t="s">
        <v>59</v>
      </c>
      <c r="C168" s="272">
        <v>21710</v>
      </c>
      <c r="D168" s="272">
        <v>4575</v>
      </c>
      <c r="E168" s="272">
        <v>71000</v>
      </c>
      <c r="F168" s="270"/>
    </row>
    <row r="169" spans="1:8" s="269" customFormat="1" ht="21" customHeight="1" x14ac:dyDescent="0.25">
      <c r="A169" s="304">
        <v>151</v>
      </c>
      <c r="B169" s="305" t="s">
        <v>66</v>
      </c>
      <c r="C169" s="272">
        <v>80</v>
      </c>
      <c r="D169" s="272">
        <v>200</v>
      </c>
      <c r="E169" s="272">
        <v>1215</v>
      </c>
      <c r="F169" s="270"/>
    </row>
    <row r="170" spans="1:8" s="269" customFormat="1" ht="21" customHeight="1" x14ac:dyDescent="0.25">
      <c r="A170" s="304">
        <v>281</v>
      </c>
      <c r="B170" s="305" t="s">
        <v>251</v>
      </c>
      <c r="C170" s="272">
        <v>0</v>
      </c>
      <c r="D170" s="272">
        <v>270</v>
      </c>
      <c r="E170" s="272">
        <v>0</v>
      </c>
      <c r="F170" s="270"/>
    </row>
    <row r="171" spans="1:8" s="269" customFormat="1" ht="21" customHeight="1" x14ac:dyDescent="0.25">
      <c r="A171" s="304">
        <v>399</v>
      </c>
      <c r="B171" s="305" t="s">
        <v>254</v>
      </c>
      <c r="C171" s="272">
        <v>0</v>
      </c>
      <c r="D171" s="272">
        <v>0</v>
      </c>
      <c r="E171" s="272">
        <v>235</v>
      </c>
      <c r="F171" s="270"/>
    </row>
    <row r="172" spans="1:8" s="269" customFormat="1" ht="21" customHeight="1" x14ac:dyDescent="0.25">
      <c r="A172" s="306"/>
      <c r="B172" s="293" t="s">
        <v>43</v>
      </c>
      <c r="C172" s="307">
        <f>SUM(C141:C171)</f>
        <v>122755</v>
      </c>
      <c r="D172" s="307">
        <f>SUM(D141:D171)</f>
        <v>42628</v>
      </c>
      <c r="E172" s="307">
        <f>SUM(E141:E171)</f>
        <v>403763</v>
      </c>
      <c r="F172" s="307">
        <f>SUM(F141:F171)</f>
        <v>2735</v>
      </c>
      <c r="G172" s="308"/>
      <c r="H172" s="308"/>
    </row>
    <row r="173" spans="1:8" s="269" customFormat="1" ht="21.75" customHeight="1" x14ac:dyDescent="0.25">
      <c r="A173" s="284"/>
      <c r="B173" s="295"/>
      <c r="C173" s="296"/>
      <c r="D173" s="296"/>
      <c r="G173" s="296"/>
      <c r="H173" s="296"/>
    </row>
    <row r="174" spans="1:8" s="269" customFormat="1" ht="21.75" customHeight="1" x14ac:dyDescent="0.25">
      <c r="A174" s="284"/>
      <c r="B174" s="510" t="s">
        <v>274</v>
      </c>
      <c r="C174" s="510"/>
      <c r="D174" s="510"/>
      <c r="E174" s="510"/>
      <c r="F174" s="309"/>
      <c r="G174" s="296"/>
      <c r="H174" s="296"/>
    </row>
    <row r="175" spans="1:8" s="269" customFormat="1" ht="20.25" customHeight="1" x14ac:dyDescent="0.25">
      <c r="A175" s="278" t="s">
        <v>2</v>
      </c>
      <c r="B175" s="310" t="s">
        <v>232</v>
      </c>
      <c r="C175" s="311" t="s">
        <v>275</v>
      </c>
      <c r="D175" s="296"/>
      <c r="E175" s="296"/>
      <c r="F175" s="312"/>
      <c r="G175" s="296"/>
      <c r="H175" s="296"/>
    </row>
    <row r="176" spans="1:8" s="269" customFormat="1" ht="23.25" customHeight="1" x14ac:dyDescent="0.25">
      <c r="A176" s="278">
        <v>354</v>
      </c>
      <c r="B176" s="313" t="s">
        <v>59</v>
      </c>
      <c r="C176" s="314">
        <v>2010</v>
      </c>
      <c r="D176" s="296"/>
      <c r="E176" s="296"/>
      <c r="G176" s="296"/>
      <c r="H176" s="296"/>
    </row>
    <row r="177" spans="1:8" s="269" customFormat="1" ht="21.75" customHeight="1" x14ac:dyDescent="0.25">
      <c r="A177" s="304">
        <v>463</v>
      </c>
      <c r="B177" s="315" t="s">
        <v>237</v>
      </c>
      <c r="C177" s="316">
        <v>452</v>
      </c>
      <c r="D177" s="296"/>
      <c r="E177" s="296"/>
      <c r="G177" s="296"/>
      <c r="H177" s="296"/>
    </row>
    <row r="178" spans="1:8" s="269" customFormat="1" ht="21.75" customHeight="1" x14ac:dyDescent="0.25">
      <c r="A178" s="317"/>
      <c r="B178" s="318"/>
      <c r="C178" s="296"/>
      <c r="D178" s="296"/>
      <c r="E178" s="296"/>
      <c r="G178" s="296"/>
      <c r="H178" s="296"/>
    </row>
    <row r="179" spans="1:8" s="269" customFormat="1" ht="24.75" customHeight="1" x14ac:dyDescent="0.25">
      <c r="A179" s="556" t="s">
        <v>276</v>
      </c>
      <c r="B179" s="556"/>
      <c r="C179" s="556"/>
      <c r="D179" s="556"/>
      <c r="E179" s="556"/>
      <c r="G179" s="296"/>
      <c r="H179" s="296"/>
    </row>
    <row r="180" spans="1:8" s="269" customFormat="1" ht="33.75" customHeight="1" x14ac:dyDescent="0.25">
      <c r="A180" s="278" t="s">
        <v>2</v>
      </c>
      <c r="B180" s="310" t="s">
        <v>232</v>
      </c>
      <c r="C180" s="311" t="s">
        <v>277</v>
      </c>
      <c r="D180" s="302" t="s">
        <v>278</v>
      </c>
      <c r="E180" s="296"/>
      <c r="G180" s="296"/>
      <c r="H180" s="296"/>
    </row>
    <row r="181" spans="1:8" s="269" customFormat="1" ht="25.5" customHeight="1" x14ac:dyDescent="0.25">
      <c r="A181" s="406">
        <v>59</v>
      </c>
      <c r="B181" s="319" t="s">
        <v>135</v>
      </c>
      <c r="C181" s="320">
        <v>2814</v>
      </c>
      <c r="D181" s="321">
        <v>1374</v>
      </c>
      <c r="E181" s="296"/>
      <c r="G181" s="296"/>
      <c r="H181" s="296"/>
    </row>
    <row r="182" spans="1:8" s="269" customFormat="1" ht="25.5" customHeight="1" x14ac:dyDescent="0.25">
      <c r="A182" s="304">
        <v>354</v>
      </c>
      <c r="B182" s="407" t="s">
        <v>59</v>
      </c>
      <c r="C182" s="320">
        <v>1700</v>
      </c>
      <c r="D182" s="321">
        <v>585</v>
      </c>
      <c r="E182" s="296"/>
      <c r="G182" s="296"/>
      <c r="H182" s="296"/>
    </row>
    <row r="183" spans="1:8" s="269" customFormat="1" x14ac:dyDescent="0.25">
      <c r="A183" s="284"/>
      <c r="B183" s="295"/>
      <c r="C183" s="296"/>
      <c r="D183" s="296"/>
      <c r="E183" s="296"/>
      <c r="G183" s="296"/>
      <c r="H183" s="296"/>
    </row>
    <row r="184" spans="1:8" s="269" customFormat="1" ht="44.25" customHeight="1" x14ac:dyDescent="0.25">
      <c r="A184" s="322"/>
      <c r="B184" s="557" t="s">
        <v>279</v>
      </c>
      <c r="C184" s="557"/>
      <c r="D184" s="557"/>
      <c r="E184" s="557"/>
      <c r="G184" s="296"/>
      <c r="H184" s="296"/>
    </row>
    <row r="185" spans="1:8" s="269" customFormat="1" ht="31.5" customHeight="1" x14ac:dyDescent="0.25">
      <c r="A185" s="278" t="s">
        <v>2</v>
      </c>
      <c r="B185" s="323" t="s">
        <v>280</v>
      </c>
      <c r="C185" s="324" t="s">
        <v>277</v>
      </c>
      <c r="D185" s="296"/>
      <c r="E185" s="296"/>
      <c r="G185" s="296"/>
      <c r="H185" s="296"/>
    </row>
    <row r="186" spans="1:8" s="269" customFormat="1" ht="25.5" customHeight="1" x14ac:dyDescent="0.3">
      <c r="A186" s="278">
        <v>140</v>
      </c>
      <c r="B186" s="325" t="s">
        <v>244</v>
      </c>
      <c r="C186" s="326">
        <v>360</v>
      </c>
      <c r="D186" s="327"/>
      <c r="E186" s="296"/>
      <c r="G186" s="296"/>
      <c r="H186" s="296"/>
    </row>
    <row r="187" spans="1:8" s="269" customFormat="1" x14ac:dyDescent="0.25">
      <c r="A187" s="284"/>
      <c r="B187" s="295"/>
      <c r="C187" s="296"/>
      <c r="D187" s="296"/>
      <c r="E187" s="296"/>
      <c r="G187" s="296"/>
      <c r="H187" s="296"/>
    </row>
    <row r="188" spans="1:8" s="269" customFormat="1" ht="42.75" customHeight="1" x14ac:dyDescent="0.25">
      <c r="A188" s="284"/>
      <c r="B188" s="555" t="s">
        <v>281</v>
      </c>
      <c r="C188" s="555"/>
      <c r="D188" s="555"/>
      <c r="E188" s="555"/>
      <c r="G188" s="296"/>
      <c r="H188" s="296"/>
    </row>
    <row r="189" spans="1:8" s="269" customFormat="1" ht="25.5" customHeight="1" x14ac:dyDescent="0.25">
      <c r="A189" s="278" t="s">
        <v>2</v>
      </c>
      <c r="B189" s="328" t="s">
        <v>232</v>
      </c>
      <c r="C189" s="323" t="s">
        <v>277</v>
      </c>
      <c r="D189" s="329"/>
      <c r="G189" s="296"/>
      <c r="H189" s="296"/>
    </row>
    <row r="190" spans="1:8" s="269" customFormat="1" x14ac:dyDescent="0.25">
      <c r="A190" s="278">
        <v>71</v>
      </c>
      <c r="B190" s="313" t="s">
        <v>282</v>
      </c>
      <c r="C190" s="330">
        <v>1374</v>
      </c>
      <c r="D190" s="296"/>
      <c r="G190" s="296"/>
      <c r="H190" s="296"/>
    </row>
    <row r="191" spans="1:8" s="269" customFormat="1" x14ac:dyDescent="0.25">
      <c r="A191" s="278">
        <v>83</v>
      </c>
      <c r="B191" s="313" t="s">
        <v>283</v>
      </c>
      <c r="C191" s="330">
        <v>801</v>
      </c>
      <c r="D191" s="296"/>
      <c r="G191" s="296"/>
      <c r="H191" s="296"/>
    </row>
    <row r="192" spans="1:8" s="269" customFormat="1" x14ac:dyDescent="0.25">
      <c r="A192" s="278">
        <v>231</v>
      </c>
      <c r="B192" s="313" t="s">
        <v>284</v>
      </c>
      <c r="C192" s="316">
        <v>1680</v>
      </c>
      <c r="D192" s="296"/>
      <c r="E192" s="296"/>
      <c r="G192" s="296"/>
      <c r="H192" s="296"/>
    </row>
    <row r="193" spans="1:8" s="269" customFormat="1" x14ac:dyDescent="0.25">
      <c r="A193" s="278">
        <v>232</v>
      </c>
      <c r="B193" s="313" t="s">
        <v>55</v>
      </c>
      <c r="C193" s="330">
        <v>2372</v>
      </c>
      <c r="D193" s="296"/>
      <c r="G193" s="296"/>
      <c r="H193" s="296"/>
    </row>
    <row r="194" spans="1:8" s="269" customFormat="1" x14ac:dyDescent="0.25">
      <c r="A194" s="278">
        <v>87</v>
      </c>
      <c r="B194" s="331" t="s">
        <v>285</v>
      </c>
      <c r="C194" s="316">
        <v>2400</v>
      </c>
      <c r="D194" s="296"/>
      <c r="E194" s="296"/>
      <c r="G194" s="296"/>
      <c r="H194" s="296"/>
    </row>
    <row r="195" spans="1:8" s="269" customFormat="1" x14ac:dyDescent="0.25">
      <c r="A195" s="284"/>
      <c r="B195" s="332"/>
      <c r="C195" s="333"/>
      <c r="D195" s="296"/>
      <c r="E195" s="296"/>
      <c r="G195" s="296"/>
      <c r="H195" s="296"/>
    </row>
    <row r="196" spans="1:8" s="269" customFormat="1" ht="28.5" customHeight="1" x14ac:dyDescent="0.25">
      <c r="A196" s="284"/>
      <c r="B196" s="510" t="s">
        <v>466</v>
      </c>
      <c r="C196" s="510"/>
      <c r="D196" s="510"/>
      <c r="E196" s="510"/>
      <c r="G196" s="296"/>
      <c r="H196" s="296"/>
    </row>
    <row r="197" spans="1:8" s="269" customFormat="1" ht="32.25" customHeight="1" x14ac:dyDescent="0.25">
      <c r="A197" s="278" t="s">
        <v>2</v>
      </c>
      <c r="B197" s="334" t="s">
        <v>232</v>
      </c>
      <c r="C197" s="335" t="s">
        <v>467</v>
      </c>
      <c r="E197" s="296"/>
      <c r="F197" s="296"/>
    </row>
    <row r="198" spans="1:8" s="269" customFormat="1" ht="19.5" customHeight="1" x14ac:dyDescent="0.25">
      <c r="A198" s="278">
        <v>140</v>
      </c>
      <c r="B198" s="336" t="s">
        <v>286</v>
      </c>
      <c r="C198" s="330">
        <v>2584</v>
      </c>
      <c r="E198" s="296"/>
      <c r="F198" s="296"/>
    </row>
    <row r="199" spans="1:8" s="269" customFormat="1" ht="19.5" customHeight="1" x14ac:dyDescent="0.25">
      <c r="A199" s="278">
        <v>35</v>
      </c>
      <c r="B199" s="337" t="s">
        <v>287</v>
      </c>
      <c r="C199" s="330">
        <v>17650</v>
      </c>
      <c r="E199" s="296"/>
      <c r="F199" s="296"/>
    </row>
    <row r="200" spans="1:8" s="269" customFormat="1" ht="30" x14ac:dyDescent="0.25">
      <c r="A200" s="278">
        <v>35</v>
      </c>
      <c r="B200" s="337" t="s">
        <v>288</v>
      </c>
      <c r="C200" s="330">
        <v>0</v>
      </c>
      <c r="E200" s="296"/>
      <c r="F200" s="296"/>
    </row>
    <row r="201" spans="1:8" s="269" customFormat="1" ht="15" customHeight="1" x14ac:dyDescent="0.25">
      <c r="A201" s="278">
        <v>144</v>
      </c>
      <c r="B201" s="338" t="s">
        <v>289</v>
      </c>
      <c r="C201" s="330">
        <v>4031.0833333333335</v>
      </c>
      <c r="E201" s="296"/>
      <c r="F201" s="296"/>
    </row>
    <row r="202" spans="1:8" s="269" customFormat="1" ht="31.5" customHeight="1" x14ac:dyDescent="0.25">
      <c r="A202" s="278"/>
      <c r="B202" s="338" t="s">
        <v>468</v>
      </c>
      <c r="C202" s="330">
        <v>198.33333333333337</v>
      </c>
      <c r="E202" s="296"/>
      <c r="F202" s="296"/>
    </row>
    <row r="203" spans="1:8" s="269" customFormat="1" x14ac:dyDescent="0.25">
      <c r="A203" s="278">
        <v>146</v>
      </c>
      <c r="B203" s="338" t="s">
        <v>243</v>
      </c>
      <c r="C203" s="330">
        <v>3876</v>
      </c>
      <c r="E203" s="296"/>
      <c r="F203" s="296"/>
    </row>
    <row r="204" spans="1:8" s="269" customFormat="1" x14ac:dyDescent="0.25">
      <c r="A204" s="278"/>
      <c r="B204" s="339" t="s">
        <v>43</v>
      </c>
      <c r="C204" s="306">
        <f>SUM(C198:C203)</f>
        <v>28339.416666666664</v>
      </c>
      <c r="E204" s="296"/>
      <c r="F204" s="296"/>
    </row>
    <row r="205" spans="1:8" s="269" customFormat="1" ht="24" customHeight="1" x14ac:dyDescent="0.25">
      <c r="A205" s="284"/>
      <c r="B205" s="332"/>
      <c r="C205" s="333"/>
      <c r="D205" s="296"/>
      <c r="E205" s="296"/>
      <c r="G205" s="296"/>
      <c r="H205" s="296"/>
    </row>
    <row r="206" spans="1:8" s="269" customFormat="1" ht="27" customHeight="1" x14ac:dyDescent="0.25">
      <c r="A206" s="284"/>
      <c r="B206" s="510" t="s">
        <v>493</v>
      </c>
      <c r="C206" s="510"/>
      <c r="D206" s="510"/>
      <c r="E206" s="510"/>
      <c r="G206" s="296"/>
      <c r="H206" s="296"/>
    </row>
    <row r="207" spans="1:8" s="269" customFormat="1" ht="96" customHeight="1" x14ac:dyDescent="0.25">
      <c r="A207" s="506" t="s">
        <v>2</v>
      </c>
      <c r="B207" s="505" t="s">
        <v>232</v>
      </c>
      <c r="C207" s="411" t="s">
        <v>496</v>
      </c>
      <c r="D207" s="430" t="s">
        <v>494</v>
      </c>
      <c r="E207" s="430" t="s">
        <v>495</v>
      </c>
      <c r="G207" s="296"/>
      <c r="H207" s="296"/>
    </row>
    <row r="208" spans="1:8" s="269" customFormat="1" ht="33.75" customHeight="1" x14ac:dyDescent="0.25">
      <c r="A208" s="506"/>
      <c r="B208" s="505"/>
      <c r="C208" s="507" t="s">
        <v>467</v>
      </c>
      <c r="D208" s="508"/>
      <c r="E208" s="509"/>
      <c r="G208" s="296"/>
      <c r="H208" s="296"/>
    </row>
    <row r="209" spans="1:8" s="269" customFormat="1" ht="15.75" customHeight="1" x14ac:dyDescent="0.25">
      <c r="A209" s="11">
        <v>59</v>
      </c>
      <c r="B209" s="410" t="s">
        <v>29</v>
      </c>
      <c r="C209" s="316">
        <v>135</v>
      </c>
      <c r="D209" s="412"/>
      <c r="E209" s="412"/>
      <c r="G209" s="296"/>
      <c r="H209" s="296"/>
    </row>
    <row r="210" spans="1:8" s="269" customFormat="1" ht="15.75" customHeight="1" x14ac:dyDescent="0.25">
      <c r="A210" s="11">
        <v>115</v>
      </c>
      <c r="B210" s="410" t="s">
        <v>23</v>
      </c>
      <c r="C210" s="316">
        <v>135</v>
      </c>
      <c r="D210" s="412"/>
      <c r="E210" s="412"/>
      <c r="G210" s="296"/>
      <c r="H210" s="296"/>
    </row>
    <row r="211" spans="1:8" s="269" customFormat="1" ht="15.75" customHeight="1" x14ac:dyDescent="0.25">
      <c r="A211" s="11">
        <v>87</v>
      </c>
      <c r="B211" s="410" t="s">
        <v>28</v>
      </c>
      <c r="C211" s="316">
        <v>90</v>
      </c>
      <c r="D211" s="321">
        <v>40</v>
      </c>
      <c r="E211" s="412"/>
      <c r="G211" s="296"/>
      <c r="H211" s="296"/>
    </row>
    <row r="212" spans="1:8" s="269" customFormat="1" ht="15.75" customHeight="1" x14ac:dyDescent="0.25">
      <c r="A212" s="11">
        <v>33</v>
      </c>
      <c r="B212" s="410" t="s">
        <v>49</v>
      </c>
      <c r="C212" s="316">
        <v>480</v>
      </c>
      <c r="D212" s="412"/>
      <c r="E212" s="412"/>
      <c r="G212" s="296"/>
      <c r="H212" s="296"/>
    </row>
    <row r="213" spans="1:8" s="269" customFormat="1" ht="15.75" customHeight="1" x14ac:dyDescent="0.25">
      <c r="A213" s="11">
        <v>133</v>
      </c>
      <c r="B213" s="410" t="s">
        <v>83</v>
      </c>
      <c r="C213" s="316">
        <v>420</v>
      </c>
      <c r="D213" s="412"/>
      <c r="E213" s="412"/>
      <c r="G213" s="296"/>
      <c r="H213" s="296"/>
    </row>
    <row r="214" spans="1:8" s="269" customFormat="1" ht="15.75" customHeight="1" x14ac:dyDescent="0.25">
      <c r="A214" s="11">
        <v>146</v>
      </c>
      <c r="B214" s="410" t="s">
        <v>20</v>
      </c>
      <c r="C214" s="316">
        <v>180</v>
      </c>
      <c r="D214" s="412"/>
      <c r="E214" s="412"/>
      <c r="G214" s="296"/>
      <c r="H214" s="296"/>
    </row>
    <row r="215" spans="1:8" s="269" customFormat="1" ht="15.75" customHeight="1" x14ac:dyDescent="0.25">
      <c r="A215" s="11">
        <v>144</v>
      </c>
      <c r="B215" s="410" t="s">
        <v>24</v>
      </c>
      <c r="C215" s="316">
        <v>840</v>
      </c>
      <c r="D215" s="321">
        <v>120</v>
      </c>
      <c r="E215" s="412"/>
      <c r="G215" s="296"/>
      <c r="H215" s="296"/>
    </row>
    <row r="216" spans="1:8" s="269" customFormat="1" ht="15.75" customHeight="1" x14ac:dyDescent="0.25">
      <c r="A216" s="11">
        <v>173</v>
      </c>
      <c r="B216" s="410" t="s">
        <v>42</v>
      </c>
      <c r="C216" s="316">
        <v>1200</v>
      </c>
      <c r="D216" s="412"/>
      <c r="E216" s="412"/>
      <c r="G216" s="296"/>
      <c r="H216" s="296"/>
    </row>
    <row r="217" spans="1:8" s="269" customFormat="1" ht="15.75" customHeight="1" x14ac:dyDescent="0.25">
      <c r="A217" s="11">
        <v>354</v>
      </c>
      <c r="B217" s="410" t="s">
        <v>59</v>
      </c>
      <c r="C217" s="316">
        <v>773</v>
      </c>
      <c r="D217" s="412"/>
      <c r="E217" s="412"/>
      <c r="G217" s="296"/>
      <c r="H217" s="296"/>
    </row>
    <row r="218" spans="1:8" s="269" customFormat="1" ht="15.75" customHeight="1" x14ac:dyDescent="0.25">
      <c r="A218" s="11">
        <v>4</v>
      </c>
      <c r="B218" s="410" t="s">
        <v>53</v>
      </c>
      <c r="C218" s="316">
        <v>420</v>
      </c>
      <c r="D218" s="412"/>
      <c r="E218" s="412"/>
      <c r="G218" s="296"/>
      <c r="H218" s="296"/>
    </row>
    <row r="219" spans="1:8" s="269" customFormat="1" ht="15.75" customHeight="1" x14ac:dyDescent="0.25">
      <c r="A219" s="11">
        <v>10</v>
      </c>
      <c r="B219" s="410" t="s">
        <v>88</v>
      </c>
      <c r="C219" s="316">
        <v>540</v>
      </c>
      <c r="D219" s="412"/>
      <c r="E219" s="412"/>
      <c r="G219" s="296"/>
      <c r="H219" s="296"/>
    </row>
    <row r="220" spans="1:8" s="269" customFormat="1" ht="25.5" customHeight="1" x14ac:dyDescent="0.25">
      <c r="A220" s="11">
        <v>140</v>
      </c>
      <c r="B220" s="410" t="s">
        <v>89</v>
      </c>
      <c r="C220" s="316">
        <v>540</v>
      </c>
      <c r="D220" s="412"/>
      <c r="E220" s="321">
        <v>44</v>
      </c>
      <c r="G220" s="296"/>
      <c r="H220" s="296"/>
    </row>
    <row r="221" spans="1:8" s="269" customFormat="1" ht="25.5" customHeight="1" x14ac:dyDescent="0.25">
      <c r="A221" s="284"/>
      <c r="B221" s="332"/>
      <c r="C221" s="333"/>
      <c r="D221" s="296"/>
      <c r="E221" s="296"/>
      <c r="G221" s="296"/>
      <c r="H221" s="296"/>
    </row>
    <row r="222" spans="1:8" s="269" customFormat="1" ht="25.5" customHeight="1" x14ac:dyDescent="0.25">
      <c r="A222" s="284"/>
      <c r="B222" s="510" t="s">
        <v>470</v>
      </c>
      <c r="C222" s="510"/>
      <c r="D222" s="510"/>
      <c r="E222" s="510"/>
      <c r="G222" s="296"/>
      <c r="H222" s="296"/>
    </row>
    <row r="223" spans="1:8" s="269" customFormat="1" ht="39" customHeight="1" x14ac:dyDescent="0.25">
      <c r="A223" s="278" t="s">
        <v>2</v>
      </c>
      <c r="B223" s="334" t="s">
        <v>232</v>
      </c>
      <c r="C223" s="335" t="s">
        <v>467</v>
      </c>
      <c r="D223" s="321" t="s">
        <v>278</v>
      </c>
      <c r="E223" s="296"/>
      <c r="G223" s="296"/>
      <c r="H223" s="296"/>
    </row>
    <row r="224" spans="1:8" s="269" customFormat="1" ht="25.5" customHeight="1" x14ac:dyDescent="0.25">
      <c r="A224" s="340">
        <v>144</v>
      </c>
      <c r="B224" s="341" t="s">
        <v>289</v>
      </c>
      <c r="C224" s="321">
        <v>16443</v>
      </c>
      <c r="D224" s="321">
        <v>1368</v>
      </c>
      <c r="E224" s="296"/>
      <c r="G224" s="296"/>
      <c r="H224" s="296"/>
    </row>
    <row r="225" spans="1:8" s="269" customFormat="1" ht="25.5" customHeight="1" x14ac:dyDescent="0.25">
      <c r="A225" s="281"/>
      <c r="B225" s="342"/>
      <c r="C225" s="333"/>
      <c r="D225" s="296"/>
      <c r="E225" s="296"/>
      <c r="G225" s="296"/>
      <c r="H225" s="296"/>
    </row>
    <row r="226" spans="1:8" s="269" customFormat="1" ht="24" customHeight="1" x14ac:dyDescent="0.25">
      <c r="A226" s="284"/>
      <c r="B226" s="553" t="s">
        <v>290</v>
      </c>
      <c r="C226" s="553"/>
      <c r="D226" s="553"/>
      <c r="E226" s="510"/>
      <c r="G226" s="296"/>
      <c r="H226" s="296"/>
    </row>
    <row r="227" spans="1:8" s="269" customFormat="1" ht="45" customHeight="1" x14ac:dyDescent="0.25">
      <c r="A227" s="278" t="s">
        <v>2</v>
      </c>
      <c r="B227" s="323" t="s">
        <v>291</v>
      </c>
      <c r="C227" s="323" t="s">
        <v>292</v>
      </c>
      <c r="D227" s="324" t="s">
        <v>293</v>
      </c>
      <c r="F227" s="296"/>
      <c r="G227" s="296"/>
      <c r="H227" s="296"/>
    </row>
    <row r="228" spans="1:8" s="269" customFormat="1" ht="15" customHeight="1" x14ac:dyDescent="0.25">
      <c r="A228" s="278">
        <v>79</v>
      </c>
      <c r="B228" s="343" t="s">
        <v>294</v>
      </c>
      <c r="C228" s="554" t="s">
        <v>290</v>
      </c>
      <c r="D228" s="398">
        <v>1372</v>
      </c>
      <c r="E228" s="296"/>
      <c r="F228" s="296"/>
      <c r="G228" s="296"/>
      <c r="H228" s="296"/>
    </row>
    <row r="229" spans="1:8" s="269" customFormat="1" ht="15" customHeight="1" x14ac:dyDescent="0.25">
      <c r="A229" s="278">
        <v>87</v>
      </c>
      <c r="B229" s="345" t="s">
        <v>285</v>
      </c>
      <c r="C229" s="554"/>
      <c r="D229" s="398">
        <v>1483</v>
      </c>
      <c r="E229" s="296"/>
      <c r="F229" s="296"/>
      <c r="G229" s="296"/>
      <c r="H229" s="296"/>
    </row>
    <row r="230" spans="1:8" s="269" customFormat="1" ht="15" customHeight="1" x14ac:dyDescent="0.25">
      <c r="A230" s="278">
        <v>59</v>
      </c>
      <c r="B230" s="345" t="s">
        <v>295</v>
      </c>
      <c r="C230" s="554"/>
      <c r="D230" s="398">
        <v>2981</v>
      </c>
      <c r="E230" s="296"/>
      <c r="F230" s="296"/>
      <c r="G230" s="296"/>
      <c r="H230" s="296"/>
    </row>
    <row r="231" spans="1:8" s="269" customFormat="1" ht="15" customHeight="1" x14ac:dyDescent="0.25">
      <c r="A231" s="278">
        <v>59</v>
      </c>
      <c r="B231" s="345" t="s">
        <v>296</v>
      </c>
      <c r="C231" s="554"/>
      <c r="D231" s="398">
        <v>2444</v>
      </c>
      <c r="E231" s="296"/>
      <c r="F231" s="296"/>
      <c r="G231" s="296"/>
      <c r="H231" s="296"/>
    </row>
    <row r="232" spans="1:8" s="269" customFormat="1" ht="15" customHeight="1" x14ac:dyDescent="0.25">
      <c r="A232" s="278">
        <v>203</v>
      </c>
      <c r="B232" s="345" t="s">
        <v>297</v>
      </c>
      <c r="C232" s="554"/>
      <c r="D232" s="398">
        <v>821</v>
      </c>
      <c r="E232" s="296"/>
      <c r="F232" s="296"/>
      <c r="G232" s="296"/>
      <c r="H232" s="296"/>
    </row>
    <row r="233" spans="1:8" s="269" customFormat="1" ht="15" customHeight="1" x14ac:dyDescent="0.25">
      <c r="A233" s="278">
        <v>69</v>
      </c>
      <c r="B233" s="346" t="s">
        <v>298</v>
      </c>
      <c r="C233" s="554"/>
      <c r="D233" s="398">
        <v>410</v>
      </c>
      <c r="E233" s="296"/>
      <c r="F233" s="296"/>
      <c r="G233" s="296"/>
      <c r="H233" s="296"/>
    </row>
    <row r="234" spans="1:8" s="269" customFormat="1" ht="15" customHeight="1" x14ac:dyDescent="0.25">
      <c r="A234" s="278">
        <v>144</v>
      </c>
      <c r="B234" s="345" t="s">
        <v>289</v>
      </c>
      <c r="C234" s="554"/>
      <c r="D234" s="398">
        <v>225</v>
      </c>
      <c r="E234" s="296"/>
      <c r="F234" s="296"/>
      <c r="G234" s="296"/>
      <c r="H234" s="296"/>
    </row>
    <row r="235" spans="1:8" s="269" customFormat="1" ht="15" customHeight="1" x14ac:dyDescent="0.25">
      <c r="A235" s="278">
        <v>85</v>
      </c>
      <c r="B235" s="345" t="s">
        <v>299</v>
      </c>
      <c r="C235" s="554"/>
      <c r="D235" s="398">
        <v>600</v>
      </c>
      <c r="E235" s="296"/>
      <c r="F235" s="296"/>
      <c r="G235" s="296"/>
      <c r="H235" s="296"/>
    </row>
    <row r="236" spans="1:8" s="269" customFormat="1" ht="15" customHeight="1" x14ac:dyDescent="0.25">
      <c r="A236" s="278">
        <v>73</v>
      </c>
      <c r="B236" s="346" t="s">
        <v>300</v>
      </c>
      <c r="C236" s="554"/>
      <c r="D236" s="398">
        <v>262</v>
      </c>
      <c r="E236" s="296"/>
      <c r="F236" s="296"/>
      <c r="G236" s="296"/>
      <c r="H236" s="296"/>
    </row>
    <row r="237" spans="1:8" s="269" customFormat="1" ht="15" customHeight="1" x14ac:dyDescent="0.25">
      <c r="A237" s="278">
        <v>63</v>
      </c>
      <c r="B237" s="347" t="s">
        <v>301</v>
      </c>
      <c r="C237" s="554"/>
      <c r="D237" s="398">
        <v>269</v>
      </c>
      <c r="E237" s="296"/>
      <c r="F237" s="296"/>
      <c r="G237" s="296"/>
      <c r="H237" s="296"/>
    </row>
    <row r="238" spans="1:8" s="269" customFormat="1" ht="15" customHeight="1" x14ac:dyDescent="0.25">
      <c r="A238" s="278">
        <v>140</v>
      </c>
      <c r="B238" s="345" t="s">
        <v>302</v>
      </c>
      <c r="C238" s="554"/>
      <c r="D238" s="398">
        <v>3597</v>
      </c>
      <c r="E238" s="296"/>
      <c r="F238" s="296"/>
      <c r="G238" s="296"/>
      <c r="H238" s="296"/>
    </row>
    <row r="239" spans="1:8" s="269" customFormat="1" ht="15" customHeight="1" x14ac:dyDescent="0.25">
      <c r="A239" s="278">
        <v>75</v>
      </c>
      <c r="B239" s="345" t="s">
        <v>303</v>
      </c>
      <c r="C239" s="554"/>
      <c r="D239" s="398">
        <v>658</v>
      </c>
      <c r="E239" s="296"/>
      <c r="F239" s="296"/>
      <c r="G239" s="296"/>
      <c r="H239" s="296"/>
    </row>
    <row r="240" spans="1:8" s="269" customFormat="1" ht="15" customHeight="1" x14ac:dyDescent="0.25">
      <c r="A240" s="278">
        <v>71</v>
      </c>
      <c r="B240" s="345" t="s">
        <v>282</v>
      </c>
      <c r="C240" s="554"/>
      <c r="D240" s="398">
        <v>1116</v>
      </c>
      <c r="E240" s="296"/>
      <c r="F240" s="296"/>
      <c r="G240" s="296"/>
      <c r="H240" s="296"/>
    </row>
    <row r="241" spans="1:8" s="269" customFormat="1" ht="15" customHeight="1" x14ac:dyDescent="0.25">
      <c r="A241" s="278">
        <v>67</v>
      </c>
      <c r="B241" s="345" t="s">
        <v>304</v>
      </c>
      <c r="C241" s="554"/>
      <c r="D241" s="398">
        <v>1100</v>
      </c>
      <c r="E241" s="296"/>
      <c r="F241" s="296"/>
      <c r="G241" s="296"/>
      <c r="H241" s="296"/>
    </row>
    <row r="242" spans="1:8" s="269" customFormat="1" ht="15" customHeight="1" x14ac:dyDescent="0.25">
      <c r="A242" s="278">
        <v>115</v>
      </c>
      <c r="B242" s="345" t="s">
        <v>305</v>
      </c>
      <c r="C242" s="554"/>
      <c r="D242" s="398">
        <v>1613</v>
      </c>
      <c r="E242" s="296"/>
      <c r="F242" s="296"/>
      <c r="G242" s="296"/>
      <c r="H242" s="296"/>
    </row>
    <row r="243" spans="1:8" s="269" customFormat="1" ht="15" customHeight="1" x14ac:dyDescent="0.25">
      <c r="A243" s="278">
        <v>103</v>
      </c>
      <c r="B243" s="345" t="s">
        <v>306</v>
      </c>
      <c r="C243" s="554"/>
      <c r="D243" s="398">
        <v>3464</v>
      </c>
      <c r="E243" s="296"/>
      <c r="F243" s="296"/>
      <c r="G243" s="296"/>
      <c r="H243" s="296"/>
    </row>
    <row r="244" spans="1:8" s="269" customFormat="1" ht="15" customHeight="1" x14ac:dyDescent="0.25">
      <c r="A244" s="278">
        <v>10</v>
      </c>
      <c r="B244" s="345" t="s">
        <v>307</v>
      </c>
      <c r="C244" s="554"/>
      <c r="D244" s="398">
        <v>4874</v>
      </c>
      <c r="E244" s="296"/>
      <c r="F244" s="296"/>
      <c r="G244" s="296"/>
      <c r="H244" s="296"/>
    </row>
    <row r="245" spans="1:8" s="269" customFormat="1" ht="15" customHeight="1" x14ac:dyDescent="0.25">
      <c r="A245" s="278">
        <v>4</v>
      </c>
      <c r="B245" s="345" t="s">
        <v>308</v>
      </c>
      <c r="C245" s="554"/>
      <c r="D245" s="398">
        <v>1913</v>
      </c>
      <c r="E245" s="296"/>
      <c r="F245" s="296"/>
      <c r="G245" s="296"/>
      <c r="H245" s="296"/>
    </row>
    <row r="246" spans="1:8" s="269" customFormat="1" ht="15" customHeight="1" x14ac:dyDescent="0.25">
      <c r="A246" s="278">
        <v>33</v>
      </c>
      <c r="B246" s="345" t="s">
        <v>309</v>
      </c>
      <c r="C246" s="554"/>
      <c r="D246" s="398">
        <v>4587</v>
      </c>
      <c r="E246" s="296"/>
      <c r="F246" s="296"/>
      <c r="G246" s="296"/>
      <c r="H246" s="296"/>
    </row>
    <row r="247" spans="1:8" s="269" customFormat="1" ht="15" customHeight="1" x14ac:dyDescent="0.25">
      <c r="A247" s="278">
        <v>29</v>
      </c>
      <c r="B247" s="345" t="s">
        <v>310</v>
      </c>
      <c r="C247" s="554"/>
      <c r="D247" s="398">
        <v>2491</v>
      </c>
      <c r="E247" s="296"/>
      <c r="F247" s="296"/>
      <c r="G247" s="296"/>
      <c r="H247" s="296"/>
    </row>
    <row r="248" spans="1:8" s="269" customFormat="1" ht="15" customHeight="1" x14ac:dyDescent="0.25">
      <c r="A248" s="278">
        <v>354</v>
      </c>
      <c r="B248" s="345" t="s">
        <v>59</v>
      </c>
      <c r="C248" s="554"/>
      <c r="D248" s="398">
        <v>8518</v>
      </c>
      <c r="E248" s="296"/>
      <c r="F248" s="296"/>
      <c r="G248" s="296"/>
      <c r="H248" s="296"/>
    </row>
    <row r="249" spans="1:8" s="269" customFormat="1" ht="15" customHeight="1" x14ac:dyDescent="0.25">
      <c r="A249" s="278">
        <v>173</v>
      </c>
      <c r="B249" s="345" t="s">
        <v>42</v>
      </c>
      <c r="C249" s="554"/>
      <c r="D249" s="344">
        <v>192</v>
      </c>
      <c r="E249" s="296"/>
      <c r="F249" s="296"/>
      <c r="G249" s="296"/>
      <c r="H249" s="296"/>
    </row>
    <row r="250" spans="1:8" s="269" customFormat="1" ht="15" customHeight="1" x14ac:dyDescent="0.25">
      <c r="A250" s="278">
        <v>417</v>
      </c>
      <c r="B250" s="345" t="s">
        <v>90</v>
      </c>
      <c r="C250" s="554"/>
      <c r="D250" s="344">
        <v>22</v>
      </c>
      <c r="E250" s="296"/>
      <c r="F250" s="296"/>
      <c r="G250" s="296"/>
      <c r="H250" s="296"/>
    </row>
    <row r="251" spans="1:8" s="269" customFormat="1" ht="30" customHeight="1" x14ac:dyDescent="0.25">
      <c r="A251" s="278">
        <v>188</v>
      </c>
      <c r="B251" s="345" t="s">
        <v>311</v>
      </c>
      <c r="C251" s="554"/>
      <c r="D251" s="344">
        <v>1071</v>
      </c>
      <c r="E251" s="296"/>
      <c r="F251" s="296"/>
      <c r="G251" s="296"/>
      <c r="H251" s="296"/>
    </row>
    <row r="252" spans="1:8" s="269" customFormat="1" ht="30" customHeight="1" x14ac:dyDescent="0.25">
      <c r="A252" s="278">
        <v>188</v>
      </c>
      <c r="B252" s="345" t="s">
        <v>312</v>
      </c>
      <c r="C252" s="554"/>
      <c r="D252" s="344">
        <v>14906</v>
      </c>
      <c r="E252" s="296"/>
      <c r="F252" s="296"/>
      <c r="G252" s="296"/>
      <c r="H252" s="296"/>
    </row>
    <row r="253" spans="1:8" s="269" customFormat="1" ht="49.5" customHeight="1" x14ac:dyDescent="0.25">
      <c r="A253" s="278"/>
      <c r="B253" s="348"/>
      <c r="C253" s="349" t="s">
        <v>313</v>
      </c>
      <c r="D253" s="350">
        <f>SUM(D228:D252)</f>
        <v>60989</v>
      </c>
      <c r="E253" s="296"/>
      <c r="F253" s="296"/>
      <c r="G253" s="296"/>
      <c r="H253" s="296"/>
    </row>
    <row r="254" spans="1:8" s="269" customFormat="1" ht="47.25" customHeight="1" x14ac:dyDescent="0.25">
      <c r="A254" s="278">
        <v>188</v>
      </c>
      <c r="B254" s="351" t="s">
        <v>314</v>
      </c>
      <c r="C254" s="352" t="s">
        <v>315</v>
      </c>
      <c r="D254" s="353">
        <v>25</v>
      </c>
      <c r="F254" s="312"/>
      <c r="G254" s="296"/>
      <c r="H254" s="296"/>
    </row>
    <row r="255" spans="1:8" s="269" customFormat="1" ht="18" customHeight="1" x14ac:dyDescent="0.25">
      <c r="A255" s="284"/>
      <c r="B255" s="347"/>
      <c r="C255" s="354"/>
      <c r="D255" s="355"/>
      <c r="E255" s="356"/>
    </row>
    <row r="256" spans="1:8" s="269" customFormat="1" ht="27.75" customHeight="1" x14ac:dyDescent="0.25">
      <c r="A256" s="284"/>
      <c r="B256" s="553" t="s">
        <v>316</v>
      </c>
      <c r="C256" s="553"/>
      <c r="D256" s="553"/>
      <c r="E256" s="553"/>
    </row>
    <row r="257" spans="1:8" s="281" customFormat="1" ht="39" customHeight="1" x14ac:dyDescent="0.25">
      <c r="A257" s="391" t="s">
        <v>2</v>
      </c>
      <c r="B257" s="323" t="s">
        <v>291</v>
      </c>
      <c r="C257" s="323" t="s">
        <v>292</v>
      </c>
      <c r="D257" s="324" t="s">
        <v>78</v>
      </c>
      <c r="E257" s="324" t="s">
        <v>277</v>
      </c>
      <c r="F257" s="302" t="s">
        <v>278</v>
      </c>
    </row>
    <row r="258" spans="1:8" s="281" customFormat="1" ht="45" customHeight="1" x14ac:dyDescent="0.25">
      <c r="A258" s="518">
        <v>465</v>
      </c>
      <c r="B258" s="550" t="s">
        <v>269</v>
      </c>
      <c r="C258" s="394" t="s">
        <v>317</v>
      </c>
      <c r="D258" s="357"/>
      <c r="E258" s="357">
        <v>23979</v>
      </c>
      <c r="F258" s="357">
        <v>2377</v>
      </c>
    </row>
    <row r="259" spans="1:8" s="281" customFormat="1" ht="45" customHeight="1" x14ac:dyDescent="0.25">
      <c r="A259" s="538"/>
      <c r="B259" s="551"/>
      <c r="C259" s="394" t="s">
        <v>318</v>
      </c>
      <c r="D259" s="357"/>
      <c r="E259" s="357">
        <v>1944</v>
      </c>
      <c r="F259" s="357">
        <v>150</v>
      </c>
    </row>
    <row r="260" spans="1:8" s="281" customFormat="1" ht="48.75" customHeight="1" x14ac:dyDescent="0.25">
      <c r="A260" s="538"/>
      <c r="B260" s="551"/>
      <c r="C260" s="394" t="s">
        <v>319</v>
      </c>
      <c r="D260" s="357"/>
      <c r="E260" s="357">
        <v>77</v>
      </c>
      <c r="F260" s="357">
        <v>23</v>
      </c>
    </row>
    <row r="261" spans="1:8" s="281" customFormat="1" ht="60" customHeight="1" x14ac:dyDescent="0.25">
      <c r="A261" s="538"/>
      <c r="B261" s="551"/>
      <c r="C261" s="394" t="s">
        <v>320</v>
      </c>
      <c r="D261" s="392">
        <v>38600</v>
      </c>
      <c r="E261" s="392"/>
      <c r="F261" s="392"/>
    </row>
    <row r="262" spans="1:8" s="281" customFormat="1" ht="30" customHeight="1" x14ac:dyDescent="0.25">
      <c r="A262" s="538"/>
      <c r="B262" s="551"/>
      <c r="C262" s="394" t="s">
        <v>321</v>
      </c>
      <c r="D262" s="392">
        <v>38600</v>
      </c>
      <c r="E262" s="392"/>
      <c r="F262" s="392"/>
    </row>
    <row r="263" spans="1:8" s="281" customFormat="1" ht="15" customHeight="1" x14ac:dyDescent="0.25">
      <c r="A263" s="538"/>
      <c r="B263" s="551"/>
      <c r="C263" s="394" t="s">
        <v>322</v>
      </c>
      <c r="D263" s="392">
        <v>1000</v>
      </c>
      <c r="E263" s="392"/>
      <c r="F263" s="392"/>
    </row>
    <row r="264" spans="1:8" s="281" customFormat="1" ht="45" customHeight="1" x14ac:dyDescent="0.25">
      <c r="A264" s="538"/>
      <c r="B264" s="551"/>
      <c r="C264" s="394" t="s">
        <v>323</v>
      </c>
      <c r="D264" s="392">
        <v>1500</v>
      </c>
      <c r="E264" s="392"/>
      <c r="F264" s="392"/>
    </row>
    <row r="265" spans="1:8" s="281" customFormat="1" ht="48" customHeight="1" x14ac:dyDescent="0.25">
      <c r="A265" s="538"/>
      <c r="B265" s="551"/>
      <c r="C265" s="394" t="s">
        <v>324</v>
      </c>
      <c r="D265" s="392">
        <v>1500</v>
      </c>
      <c r="E265" s="392"/>
      <c r="F265" s="392"/>
    </row>
    <row r="266" spans="1:8" s="281" customFormat="1" ht="48" customHeight="1" x14ac:dyDescent="0.25">
      <c r="A266" s="538"/>
      <c r="B266" s="551"/>
      <c r="C266" s="394" t="s">
        <v>325</v>
      </c>
      <c r="D266" s="392">
        <v>3000</v>
      </c>
      <c r="E266" s="392"/>
      <c r="F266" s="392"/>
    </row>
    <row r="267" spans="1:8" s="281" customFormat="1" ht="48" customHeight="1" x14ac:dyDescent="0.25">
      <c r="A267" s="538"/>
      <c r="B267" s="551"/>
      <c r="C267" s="395" t="s">
        <v>326</v>
      </c>
      <c r="D267" s="392">
        <v>400</v>
      </c>
      <c r="E267" s="392"/>
      <c r="F267" s="392"/>
    </row>
    <row r="268" spans="1:8" s="281" customFormat="1" ht="48" customHeight="1" x14ac:dyDescent="0.25">
      <c r="A268" s="538"/>
      <c r="B268" s="551"/>
      <c r="C268" s="396" t="s">
        <v>327</v>
      </c>
      <c r="D268" s="392">
        <v>500</v>
      </c>
      <c r="E268" s="392"/>
      <c r="F268" s="358"/>
    </row>
    <row r="269" spans="1:8" s="281" customFormat="1" ht="79.5" customHeight="1" x14ac:dyDescent="0.25">
      <c r="A269" s="519"/>
      <c r="B269" s="552"/>
      <c r="C269" s="396" t="s">
        <v>328</v>
      </c>
      <c r="D269" s="320">
        <v>150</v>
      </c>
      <c r="E269" s="320"/>
      <c r="F269" s="359"/>
      <c r="G269" s="367"/>
      <c r="H269" s="367"/>
    </row>
    <row r="270" spans="1:8" s="281" customFormat="1" ht="35.25" customHeight="1" x14ac:dyDescent="0.25">
      <c r="A270" s="518">
        <v>144</v>
      </c>
      <c r="B270" s="550" t="s">
        <v>483</v>
      </c>
      <c r="C270" s="396" t="s">
        <v>329</v>
      </c>
      <c r="D270" s="353">
        <v>407</v>
      </c>
      <c r="E270" s="353"/>
      <c r="F270" s="321"/>
      <c r="G270" s="367"/>
      <c r="H270" s="367"/>
    </row>
    <row r="271" spans="1:8" s="281" customFormat="1" ht="30" customHeight="1" x14ac:dyDescent="0.25">
      <c r="A271" s="538"/>
      <c r="B271" s="551"/>
      <c r="C271" s="396" t="s">
        <v>330</v>
      </c>
      <c r="D271" s="353">
        <v>130</v>
      </c>
      <c r="E271" s="353"/>
      <c r="F271" s="321"/>
      <c r="G271" s="367"/>
      <c r="H271" s="367"/>
    </row>
    <row r="272" spans="1:8" s="281" customFormat="1" ht="34.5" customHeight="1" x14ac:dyDescent="0.25">
      <c r="A272" s="519"/>
      <c r="B272" s="552"/>
      <c r="C272" s="396" t="s">
        <v>331</v>
      </c>
      <c r="D272" s="353">
        <v>1450</v>
      </c>
      <c r="E272" s="353"/>
      <c r="F272" s="321"/>
      <c r="G272" s="367"/>
      <c r="H272" s="367"/>
    </row>
    <row r="273" spans="1:8" s="281" customFormat="1" ht="44.25" customHeight="1" x14ac:dyDescent="0.25">
      <c r="A273" s="518">
        <v>173</v>
      </c>
      <c r="B273" s="545" t="s">
        <v>42</v>
      </c>
      <c r="C273" s="393" t="s">
        <v>332</v>
      </c>
      <c r="D273" s="321"/>
      <c r="E273" s="321">
        <v>95</v>
      </c>
      <c r="F273" s="321">
        <v>20</v>
      </c>
      <c r="G273" s="367"/>
      <c r="H273" s="367"/>
    </row>
    <row r="274" spans="1:8" s="281" customFormat="1" ht="45" x14ac:dyDescent="0.25">
      <c r="A274" s="538"/>
      <c r="B274" s="546"/>
      <c r="C274" s="393" t="s">
        <v>333</v>
      </c>
      <c r="D274" s="321"/>
      <c r="E274" s="321">
        <v>3750</v>
      </c>
      <c r="F274" s="321">
        <v>203</v>
      </c>
      <c r="G274" s="367"/>
      <c r="H274" s="367"/>
    </row>
    <row r="275" spans="1:8" s="281" customFormat="1" ht="105" x14ac:dyDescent="0.25">
      <c r="A275" s="538"/>
      <c r="B275" s="546"/>
      <c r="C275" s="393" t="s">
        <v>334</v>
      </c>
      <c r="D275" s="353"/>
      <c r="E275" s="353">
        <v>150</v>
      </c>
      <c r="F275" s="321">
        <v>60</v>
      </c>
    </row>
    <row r="276" spans="1:8" s="281" customFormat="1" ht="78.75" customHeight="1" x14ac:dyDescent="0.25">
      <c r="A276" s="519"/>
      <c r="B276" s="547"/>
      <c r="C276" s="393" t="s">
        <v>335</v>
      </c>
      <c r="D276" s="353">
        <v>1500</v>
      </c>
      <c r="E276" s="353"/>
      <c r="F276" s="321"/>
    </row>
    <row r="277" spans="1:8" s="281" customFormat="1" ht="54.75" customHeight="1" x14ac:dyDescent="0.25">
      <c r="A277" s="391">
        <v>59</v>
      </c>
      <c r="B277" s="360" t="s">
        <v>56</v>
      </c>
      <c r="C277" s="393" t="s">
        <v>332</v>
      </c>
      <c r="D277" s="321"/>
      <c r="E277" s="321">
        <v>40</v>
      </c>
      <c r="F277" s="321"/>
      <c r="G277" s="367"/>
      <c r="H277" s="367"/>
    </row>
    <row r="278" spans="1:8" s="281" customFormat="1" ht="54.75" customHeight="1" x14ac:dyDescent="0.25">
      <c r="A278" s="532">
        <v>29</v>
      </c>
      <c r="B278" s="548" t="s">
        <v>190</v>
      </c>
      <c r="C278" s="399" t="s">
        <v>484</v>
      </c>
      <c r="D278" s="400"/>
      <c r="E278" s="400">
        <v>1167</v>
      </c>
      <c r="F278" s="400"/>
      <c r="G278" s="367"/>
      <c r="H278" s="367"/>
    </row>
    <row r="279" spans="1:8" s="281" customFormat="1" ht="81" customHeight="1" x14ac:dyDescent="0.25">
      <c r="A279" s="533"/>
      <c r="B279" s="549"/>
      <c r="C279" s="399" t="s">
        <v>485</v>
      </c>
      <c r="D279" s="400"/>
      <c r="E279" s="400">
        <v>125</v>
      </c>
      <c r="F279" s="400"/>
      <c r="G279" s="367"/>
      <c r="H279" s="367"/>
    </row>
    <row r="280" spans="1:8" s="269" customFormat="1" ht="29.25" customHeight="1" x14ac:dyDescent="0.25">
      <c r="A280" s="284"/>
      <c r="B280" s="529" t="s">
        <v>336</v>
      </c>
      <c r="C280" s="529"/>
      <c r="D280" s="529"/>
      <c r="E280" s="529"/>
      <c r="G280" s="296"/>
      <c r="H280" s="296"/>
    </row>
    <row r="281" spans="1:8" s="269" customFormat="1" ht="24" customHeight="1" x14ac:dyDescent="0.25">
      <c r="A281" s="278">
        <v>146</v>
      </c>
      <c r="B281" s="431" t="s">
        <v>42</v>
      </c>
      <c r="C281" s="542" t="s">
        <v>337</v>
      </c>
      <c r="D281" s="398">
        <v>170</v>
      </c>
      <c r="F281" s="296"/>
      <c r="G281" s="296"/>
      <c r="H281" s="296"/>
    </row>
    <row r="282" spans="1:8" s="269" customFormat="1" ht="53.25" customHeight="1" x14ac:dyDescent="0.25">
      <c r="A282" s="278">
        <v>146</v>
      </c>
      <c r="B282" s="431" t="s">
        <v>243</v>
      </c>
      <c r="C282" s="543"/>
      <c r="D282" s="398">
        <v>50</v>
      </c>
      <c r="F282" s="296"/>
      <c r="G282" s="296"/>
      <c r="H282" s="296"/>
    </row>
    <row r="283" spans="1:8" s="269" customFormat="1" ht="53.25" customHeight="1" x14ac:dyDescent="0.25">
      <c r="A283" s="408">
        <v>144</v>
      </c>
      <c r="B283" s="432" t="s">
        <v>289</v>
      </c>
      <c r="C283" s="544"/>
      <c r="D283" s="398">
        <v>40</v>
      </c>
      <c r="F283" s="296"/>
      <c r="G283" s="296"/>
      <c r="H283" s="296"/>
    </row>
    <row r="284" spans="1:8" s="269" customFormat="1" ht="78.75" customHeight="1" x14ac:dyDescent="0.25">
      <c r="A284" s="278">
        <v>144</v>
      </c>
      <c r="B284" s="361" t="s">
        <v>289</v>
      </c>
      <c r="C284" s="352" t="s">
        <v>338</v>
      </c>
      <c r="D284" s="344">
        <v>30</v>
      </c>
      <c r="F284" s="296"/>
      <c r="G284" s="296"/>
      <c r="H284" s="296"/>
    </row>
    <row r="285" spans="1:8" s="269" customFormat="1" ht="21" customHeight="1" x14ac:dyDescent="0.25">
      <c r="A285" s="284"/>
      <c r="B285" s="529" t="s">
        <v>339</v>
      </c>
      <c r="C285" s="529"/>
      <c r="D285" s="529"/>
      <c r="E285" s="529"/>
      <c r="G285" s="296"/>
      <c r="H285" s="296"/>
    </row>
    <row r="286" spans="1:8" s="269" customFormat="1" ht="64.5" customHeight="1" x14ac:dyDescent="0.25">
      <c r="A286" s="506">
        <v>144</v>
      </c>
      <c r="B286" s="539" t="s">
        <v>289</v>
      </c>
      <c r="C286" s="362" t="s">
        <v>340</v>
      </c>
      <c r="D286" s="363">
        <v>200</v>
      </c>
      <c r="E286" s="364"/>
      <c r="G286" s="296"/>
      <c r="H286" s="296"/>
    </row>
    <row r="287" spans="1:8" s="269" customFormat="1" ht="87" hidden="1" customHeight="1" x14ac:dyDescent="0.25">
      <c r="A287" s="538"/>
      <c r="B287" s="540"/>
      <c r="C287" s="362" t="s">
        <v>341</v>
      </c>
      <c r="D287" s="363">
        <v>0</v>
      </c>
      <c r="E287" s="364"/>
      <c r="G287" s="296"/>
      <c r="H287" s="296"/>
    </row>
    <row r="288" spans="1:8" s="269" customFormat="1" ht="64.5" customHeight="1" x14ac:dyDescent="0.25">
      <c r="A288" s="519"/>
      <c r="B288" s="541"/>
      <c r="C288" s="362" t="s">
        <v>487</v>
      </c>
      <c r="D288" s="363">
        <v>12</v>
      </c>
      <c r="E288" s="364"/>
      <c r="G288" s="296"/>
      <c r="H288" s="296"/>
    </row>
    <row r="289" spans="1:8" s="269" customFormat="1" ht="66" customHeight="1" x14ac:dyDescent="0.25">
      <c r="A289" s="278">
        <v>354</v>
      </c>
      <c r="B289" s="351" t="s">
        <v>59</v>
      </c>
      <c r="C289" s="362" t="s">
        <v>340</v>
      </c>
      <c r="D289" s="353">
        <v>4616</v>
      </c>
      <c r="E289" s="284"/>
      <c r="F289" s="296"/>
      <c r="G289" s="296"/>
      <c r="H289" s="296"/>
    </row>
    <row r="290" spans="1:8" s="269" customFormat="1" ht="43.5" customHeight="1" x14ac:dyDescent="0.25">
      <c r="A290" s="518">
        <v>386</v>
      </c>
      <c r="B290" s="536" t="s">
        <v>342</v>
      </c>
      <c r="C290" s="362" t="s">
        <v>343</v>
      </c>
      <c r="D290" s="365">
        <v>8845</v>
      </c>
      <c r="E290" s="284"/>
      <c r="F290" s="296"/>
      <c r="G290" s="296"/>
      <c r="H290" s="296"/>
    </row>
    <row r="291" spans="1:8" s="269" customFormat="1" ht="30" customHeight="1" x14ac:dyDescent="0.25">
      <c r="A291" s="519"/>
      <c r="B291" s="537"/>
      <c r="C291" s="362" t="s">
        <v>344</v>
      </c>
      <c r="D291" s="365">
        <v>13026</v>
      </c>
      <c r="E291" s="284"/>
      <c r="G291" s="296"/>
      <c r="H291" s="296"/>
    </row>
    <row r="292" spans="1:8" s="269" customFormat="1" ht="45.75" hidden="1" customHeight="1" x14ac:dyDescent="0.25">
      <c r="A292" s="506">
        <v>385</v>
      </c>
      <c r="B292" s="534" t="s">
        <v>345</v>
      </c>
      <c r="C292" s="366"/>
      <c r="D292" s="365"/>
      <c r="E292" s="284"/>
      <c r="G292" s="296"/>
      <c r="H292" s="296"/>
    </row>
    <row r="293" spans="1:8" s="269" customFormat="1" ht="65.25" customHeight="1" x14ac:dyDescent="0.25">
      <c r="A293" s="506"/>
      <c r="B293" s="534"/>
      <c r="C293" s="352" t="s">
        <v>343</v>
      </c>
      <c r="D293" s="365">
        <v>1155</v>
      </c>
      <c r="E293" s="284"/>
      <c r="G293" s="296"/>
      <c r="H293" s="296"/>
    </row>
    <row r="294" spans="1:8" s="269" customFormat="1" ht="30" customHeight="1" x14ac:dyDescent="0.25">
      <c r="A294" s="506"/>
      <c r="B294" s="534"/>
      <c r="C294" s="352" t="s">
        <v>344</v>
      </c>
      <c r="D294" s="365">
        <v>1027</v>
      </c>
      <c r="E294" s="284"/>
      <c r="G294" s="296"/>
      <c r="H294" s="296"/>
    </row>
    <row r="295" spans="1:8" s="269" customFormat="1" ht="30" customHeight="1" x14ac:dyDescent="0.25">
      <c r="A295" s="506">
        <v>385</v>
      </c>
      <c r="B295" s="534" t="s">
        <v>372</v>
      </c>
      <c r="C295" s="352" t="s">
        <v>343</v>
      </c>
      <c r="D295" s="365">
        <v>524</v>
      </c>
      <c r="E295" s="284"/>
      <c r="G295" s="296"/>
      <c r="H295" s="296"/>
    </row>
    <row r="296" spans="1:8" s="269" customFormat="1" ht="30.75" customHeight="1" x14ac:dyDescent="0.25">
      <c r="A296" s="506"/>
      <c r="B296" s="534"/>
      <c r="C296" s="352" t="s">
        <v>344</v>
      </c>
      <c r="D296" s="365">
        <v>1171</v>
      </c>
      <c r="E296" s="284"/>
      <c r="G296" s="296"/>
      <c r="H296" s="296"/>
    </row>
    <row r="297" spans="1:8" s="269" customFormat="1" ht="32.25" customHeight="1" x14ac:dyDescent="0.25">
      <c r="A297" s="506">
        <v>432</v>
      </c>
      <c r="B297" s="534" t="s">
        <v>346</v>
      </c>
      <c r="C297" s="352" t="s">
        <v>344</v>
      </c>
      <c r="D297" s="344">
        <v>3890</v>
      </c>
      <c r="E297" s="284"/>
      <c r="G297" s="296"/>
      <c r="H297" s="296"/>
    </row>
    <row r="298" spans="1:8" s="269" customFormat="1" ht="59.25" customHeight="1" x14ac:dyDescent="0.25">
      <c r="A298" s="506"/>
      <c r="B298" s="534"/>
      <c r="C298" s="352" t="s">
        <v>343</v>
      </c>
      <c r="D298" s="344">
        <v>10890</v>
      </c>
      <c r="E298" s="284"/>
      <c r="G298" s="296"/>
      <c r="H298" s="296"/>
    </row>
    <row r="299" spans="1:8" s="269" customFormat="1" ht="33" customHeight="1" x14ac:dyDescent="0.25">
      <c r="A299" s="506"/>
      <c r="B299" s="534"/>
      <c r="C299" s="352" t="s">
        <v>347</v>
      </c>
      <c r="D299" s="535">
        <v>52</v>
      </c>
      <c r="E299" s="367"/>
      <c r="G299" s="368"/>
      <c r="H299" s="368"/>
    </row>
    <row r="300" spans="1:8" s="269" customFormat="1" ht="61.5" customHeight="1" x14ac:dyDescent="0.25">
      <c r="A300" s="506"/>
      <c r="B300" s="534"/>
      <c r="C300" s="352" t="s">
        <v>348</v>
      </c>
      <c r="D300" s="535"/>
      <c r="E300" s="367"/>
      <c r="G300" s="296"/>
      <c r="H300" s="296"/>
    </row>
    <row r="301" spans="1:8" s="269" customFormat="1" ht="61.5" customHeight="1" x14ac:dyDescent="0.25">
      <c r="A301" s="506"/>
      <c r="B301" s="534"/>
      <c r="C301" s="352" t="s">
        <v>349</v>
      </c>
      <c r="D301" s="535"/>
      <c r="E301" s="367"/>
      <c r="F301" s="296"/>
      <c r="G301" s="296"/>
      <c r="H301" s="296"/>
    </row>
    <row r="302" spans="1:8" s="269" customFormat="1" ht="29.25" customHeight="1" x14ac:dyDescent="0.25">
      <c r="A302" s="506">
        <v>452</v>
      </c>
      <c r="B302" s="528" t="s">
        <v>261</v>
      </c>
      <c r="C302" s="397" t="s">
        <v>344</v>
      </c>
      <c r="D302" s="398">
        <v>7572</v>
      </c>
      <c r="E302" s="356"/>
      <c r="F302" s="296"/>
      <c r="G302" s="296"/>
      <c r="H302" s="296"/>
    </row>
    <row r="303" spans="1:8" s="269" customFormat="1" ht="60" customHeight="1" x14ac:dyDescent="0.25">
      <c r="A303" s="506"/>
      <c r="B303" s="528"/>
      <c r="C303" s="397" t="s">
        <v>343</v>
      </c>
      <c r="D303" s="398">
        <v>473</v>
      </c>
      <c r="E303" s="356"/>
      <c r="F303" s="296"/>
      <c r="G303" s="296"/>
      <c r="H303" s="296"/>
    </row>
    <row r="304" spans="1:8" s="269" customFormat="1" ht="33.75" customHeight="1" x14ac:dyDescent="0.25">
      <c r="A304" s="506"/>
      <c r="B304" s="528"/>
      <c r="C304" s="397" t="s">
        <v>350</v>
      </c>
      <c r="D304" s="398">
        <v>3696</v>
      </c>
      <c r="E304" s="356"/>
      <c r="F304" s="296"/>
      <c r="G304" s="296"/>
      <c r="H304" s="296"/>
    </row>
    <row r="305" spans="1:8" s="269" customFormat="1" ht="67.5" customHeight="1" x14ac:dyDescent="0.25">
      <c r="A305" s="506"/>
      <c r="B305" s="528"/>
      <c r="C305" s="397" t="s">
        <v>348</v>
      </c>
      <c r="D305" s="398">
        <v>2299</v>
      </c>
      <c r="E305" s="356"/>
      <c r="F305" s="369"/>
      <c r="G305" s="370"/>
      <c r="H305" s="370"/>
    </row>
    <row r="306" spans="1:8" s="269" customFormat="1" ht="67.5" customHeight="1" x14ac:dyDescent="0.25">
      <c r="A306" s="532">
        <v>40</v>
      </c>
      <c r="B306" s="530" t="s">
        <v>482</v>
      </c>
      <c r="C306" s="397" t="s">
        <v>343</v>
      </c>
      <c r="D306" s="398">
        <v>2912</v>
      </c>
      <c r="E306" s="356"/>
      <c r="F306" s="369"/>
      <c r="G306" s="370"/>
      <c r="H306" s="370"/>
    </row>
    <row r="307" spans="1:8" s="269" customFormat="1" ht="34.5" customHeight="1" x14ac:dyDescent="0.25">
      <c r="A307" s="533"/>
      <c r="B307" s="531"/>
      <c r="C307" s="397" t="s">
        <v>344</v>
      </c>
      <c r="D307" s="398">
        <v>2536</v>
      </c>
      <c r="E307" s="356"/>
      <c r="F307" s="369"/>
      <c r="G307" s="370"/>
      <c r="H307" s="370"/>
    </row>
    <row r="308" spans="1:8" s="269" customFormat="1" ht="28.5" customHeight="1" x14ac:dyDescent="0.25">
      <c r="A308" s="284"/>
      <c r="B308" s="529" t="s">
        <v>351</v>
      </c>
      <c r="C308" s="529"/>
      <c r="D308" s="529"/>
      <c r="E308" s="529"/>
      <c r="F308" s="369"/>
      <c r="G308" s="370"/>
      <c r="H308" s="370"/>
    </row>
    <row r="309" spans="1:8" s="269" customFormat="1" ht="101.25" customHeight="1" x14ac:dyDescent="0.25">
      <c r="A309" s="278" t="s">
        <v>2</v>
      </c>
      <c r="B309" s="523" t="s">
        <v>469</v>
      </c>
      <c r="C309" s="524"/>
      <c r="D309" s="525"/>
      <c r="E309" s="296"/>
      <c r="G309" s="296"/>
      <c r="H309" s="296"/>
    </row>
    <row r="310" spans="1:8" s="269" customFormat="1" ht="21" customHeight="1" x14ac:dyDescent="0.25">
      <c r="A310" s="278">
        <v>173</v>
      </c>
      <c r="B310" s="371" t="s">
        <v>42</v>
      </c>
      <c r="C310" s="526" t="s">
        <v>351</v>
      </c>
      <c r="D310" s="372">
        <v>215</v>
      </c>
      <c r="E310" s="296"/>
      <c r="G310" s="296"/>
      <c r="H310" s="296"/>
    </row>
    <row r="311" spans="1:8" s="269" customFormat="1" ht="23.25" customHeight="1" x14ac:dyDescent="0.25">
      <c r="A311" s="278">
        <v>465</v>
      </c>
      <c r="B311" s="271" t="s">
        <v>352</v>
      </c>
      <c r="C311" s="526"/>
      <c r="D311" s="403">
        <v>317</v>
      </c>
      <c r="E311" s="296"/>
      <c r="G311" s="296"/>
      <c r="H311" s="296"/>
    </row>
    <row r="312" spans="1:8" s="269" customFormat="1" ht="26.25" customHeight="1" x14ac:dyDescent="0.25">
      <c r="A312" s="278">
        <v>188</v>
      </c>
      <c r="B312" s="371" t="s">
        <v>353</v>
      </c>
      <c r="C312" s="526"/>
      <c r="D312" s="403">
        <v>8587</v>
      </c>
      <c r="E312" s="296"/>
      <c r="G312" s="296"/>
      <c r="H312" s="296"/>
    </row>
    <row r="313" spans="1:8" s="269" customFormat="1" ht="36" customHeight="1" x14ac:dyDescent="0.25">
      <c r="A313" s="278"/>
      <c r="B313" s="349"/>
      <c r="C313" s="349" t="s">
        <v>354</v>
      </c>
      <c r="D313" s="373">
        <f>D310+D311+D312</f>
        <v>9119</v>
      </c>
      <c r="F313" s="296"/>
      <c r="G313" s="296"/>
      <c r="H313" s="296"/>
    </row>
    <row r="314" spans="1:8" ht="25.5" customHeight="1" x14ac:dyDescent="0.25">
      <c r="A314" s="284"/>
      <c r="B314" s="295"/>
      <c r="C314" s="296"/>
      <c r="D314" s="296"/>
    </row>
    <row r="315" spans="1:8" ht="39" customHeight="1" x14ac:dyDescent="0.25">
      <c r="A315" s="284"/>
      <c r="B315" s="527" t="s">
        <v>471</v>
      </c>
      <c r="C315" s="527"/>
      <c r="D315" s="527"/>
      <c r="E315" s="527"/>
    </row>
    <row r="316" spans="1:8" ht="12" customHeight="1" x14ac:dyDescent="0.25">
      <c r="A316" s="284"/>
      <c r="B316" s="374"/>
      <c r="C316" s="374"/>
      <c r="D316" s="374"/>
      <c r="E316" s="374"/>
    </row>
    <row r="317" spans="1:8" ht="25.5" customHeight="1" x14ac:dyDescent="0.25">
      <c r="A317" s="278" t="s">
        <v>2</v>
      </c>
      <c r="B317" s="375" t="s">
        <v>280</v>
      </c>
      <c r="C317" s="321" t="s">
        <v>277</v>
      </c>
      <c r="D317" s="296"/>
    </row>
    <row r="318" spans="1:8" ht="25.5" customHeight="1" x14ac:dyDescent="0.25">
      <c r="A318" s="278">
        <v>144</v>
      </c>
      <c r="B318" s="361" t="s">
        <v>289</v>
      </c>
      <c r="C318" s="316">
        <v>4444</v>
      </c>
      <c r="D318" s="296"/>
    </row>
    <row r="319" spans="1:8" ht="40.5" customHeight="1" x14ac:dyDescent="0.25">
      <c r="A319" s="278">
        <v>188</v>
      </c>
      <c r="B319" s="371" t="s">
        <v>353</v>
      </c>
      <c r="C319" s="316">
        <v>1469</v>
      </c>
      <c r="D319" s="296"/>
    </row>
    <row r="320" spans="1:8" ht="25.5" customHeight="1" x14ac:dyDescent="0.25">
      <c r="A320" s="278">
        <v>292</v>
      </c>
      <c r="B320" s="290" t="s">
        <v>22</v>
      </c>
      <c r="C320" s="316">
        <v>254</v>
      </c>
      <c r="D320" s="296"/>
    </row>
    <row r="321" spans="1:6" ht="25.5" customHeight="1" x14ac:dyDescent="0.25">
      <c r="A321" s="278">
        <v>146</v>
      </c>
      <c r="B321" s="361" t="s">
        <v>42</v>
      </c>
      <c r="C321" s="316">
        <v>78</v>
      </c>
      <c r="D321" s="296"/>
    </row>
    <row r="322" spans="1:6" ht="15" customHeight="1" x14ac:dyDescent="0.25">
      <c r="A322" s="284"/>
      <c r="B322" s="295"/>
      <c r="C322" s="296"/>
      <c r="D322" s="296"/>
    </row>
    <row r="323" spans="1:6" ht="14.25" customHeight="1" x14ac:dyDescent="0.25">
      <c r="A323" s="284"/>
      <c r="B323" s="295"/>
      <c r="C323" s="296"/>
      <c r="D323" s="296"/>
    </row>
    <row r="324" spans="1:6" ht="21.75" customHeight="1" x14ac:dyDescent="0.25">
      <c r="B324" s="517" t="s">
        <v>355</v>
      </c>
      <c r="C324" s="517"/>
      <c r="D324" s="517"/>
      <c r="E324" s="517"/>
      <c r="F324" s="517"/>
    </row>
    <row r="325" spans="1:6" ht="28.5" customHeight="1" x14ac:dyDescent="0.25">
      <c r="A325" s="518" t="s">
        <v>2</v>
      </c>
      <c r="B325" s="520" t="s">
        <v>232</v>
      </c>
      <c r="C325" s="522" t="s">
        <v>356</v>
      </c>
      <c r="D325" s="522" t="s">
        <v>357</v>
      </c>
      <c r="E325" s="522"/>
      <c r="F325" s="522"/>
    </row>
    <row r="326" spans="1:6" ht="36.75" customHeight="1" x14ac:dyDescent="0.25">
      <c r="A326" s="519"/>
      <c r="B326" s="521"/>
      <c r="C326" s="522"/>
      <c r="D326" s="226" t="s">
        <v>358</v>
      </c>
      <c r="E326" s="226" t="s">
        <v>359</v>
      </c>
      <c r="F326" s="226" t="s">
        <v>360</v>
      </c>
    </row>
    <row r="327" spans="1:6" x14ac:dyDescent="0.25">
      <c r="A327" s="278">
        <v>61</v>
      </c>
      <c r="B327" s="376" t="s">
        <v>48</v>
      </c>
      <c r="C327" s="272">
        <v>1711</v>
      </c>
      <c r="D327" s="272">
        <v>0</v>
      </c>
      <c r="E327" s="272">
        <v>446</v>
      </c>
      <c r="F327" s="272">
        <v>936</v>
      </c>
    </row>
    <row r="328" spans="1:6" x14ac:dyDescent="0.25">
      <c r="A328" s="278">
        <v>59</v>
      </c>
      <c r="B328" s="376" t="s">
        <v>29</v>
      </c>
      <c r="C328" s="272">
        <v>11708</v>
      </c>
      <c r="D328" s="272">
        <v>1880</v>
      </c>
      <c r="E328" s="272">
        <v>2700</v>
      </c>
      <c r="F328" s="272">
        <v>5693</v>
      </c>
    </row>
    <row r="329" spans="1:6" x14ac:dyDescent="0.25">
      <c r="A329" s="278">
        <v>63</v>
      </c>
      <c r="B329" s="376" t="s">
        <v>30</v>
      </c>
      <c r="C329" s="272">
        <v>3442</v>
      </c>
      <c r="D329" s="272">
        <v>322</v>
      </c>
      <c r="E329" s="272">
        <v>801</v>
      </c>
      <c r="F329" s="272">
        <v>1677</v>
      </c>
    </row>
    <row r="330" spans="1:6" x14ac:dyDescent="0.25">
      <c r="A330" s="278">
        <v>65</v>
      </c>
      <c r="B330" s="376" t="s">
        <v>31</v>
      </c>
      <c r="C330" s="272">
        <v>2939</v>
      </c>
      <c r="D330" s="272">
        <v>0</v>
      </c>
      <c r="E330" s="272">
        <v>839</v>
      </c>
      <c r="F330" s="272">
        <v>1756</v>
      </c>
    </row>
    <row r="331" spans="1:6" x14ac:dyDescent="0.25">
      <c r="A331" s="278">
        <v>67</v>
      </c>
      <c r="B331" s="376" t="s">
        <v>61</v>
      </c>
      <c r="C331" s="272">
        <v>3271</v>
      </c>
      <c r="D331" s="272">
        <v>593</v>
      </c>
      <c r="E331" s="272">
        <v>761</v>
      </c>
      <c r="F331" s="272">
        <v>1594</v>
      </c>
    </row>
    <row r="332" spans="1:6" x14ac:dyDescent="0.25">
      <c r="A332" s="278">
        <v>69</v>
      </c>
      <c r="B332" s="376" t="s">
        <v>32</v>
      </c>
      <c r="C332" s="272">
        <v>4948</v>
      </c>
      <c r="D332" s="272">
        <v>766</v>
      </c>
      <c r="E332" s="272">
        <v>1153</v>
      </c>
      <c r="F332" s="272">
        <v>2412</v>
      </c>
    </row>
    <row r="333" spans="1:6" x14ac:dyDescent="0.25">
      <c r="A333" s="278">
        <v>71</v>
      </c>
      <c r="B333" s="376" t="s">
        <v>14</v>
      </c>
      <c r="C333" s="272">
        <v>4676</v>
      </c>
      <c r="D333" s="272">
        <v>680</v>
      </c>
      <c r="E333" s="272">
        <v>1089</v>
      </c>
      <c r="F333" s="272">
        <v>2279</v>
      </c>
    </row>
    <row r="334" spans="1:6" x14ac:dyDescent="0.25">
      <c r="A334" s="278">
        <v>103</v>
      </c>
      <c r="B334" s="376" t="s">
        <v>15</v>
      </c>
      <c r="C334" s="272">
        <v>11909</v>
      </c>
      <c r="D334" s="272">
        <v>1675</v>
      </c>
      <c r="E334" s="272">
        <v>2907</v>
      </c>
      <c r="F334" s="272">
        <v>5531</v>
      </c>
    </row>
    <row r="335" spans="1:6" x14ac:dyDescent="0.25">
      <c r="A335" s="278">
        <v>73</v>
      </c>
      <c r="B335" s="376" t="s">
        <v>17</v>
      </c>
      <c r="C335" s="272">
        <v>2845</v>
      </c>
      <c r="D335" s="272">
        <v>130</v>
      </c>
      <c r="E335" s="272">
        <v>731</v>
      </c>
      <c r="F335" s="272">
        <v>1529</v>
      </c>
    </row>
    <row r="336" spans="1:6" x14ac:dyDescent="0.25">
      <c r="A336" s="278">
        <v>232</v>
      </c>
      <c r="B336" s="376" t="s">
        <v>55</v>
      </c>
      <c r="C336" s="272">
        <v>6442</v>
      </c>
      <c r="D336" s="272">
        <v>100</v>
      </c>
      <c r="E336" s="272">
        <v>1477</v>
      </c>
      <c r="F336" s="272">
        <v>3091</v>
      </c>
    </row>
    <row r="337" spans="1:6" x14ac:dyDescent="0.25">
      <c r="A337" s="278">
        <v>75</v>
      </c>
      <c r="B337" s="376" t="s">
        <v>62</v>
      </c>
      <c r="C337" s="272">
        <v>3197</v>
      </c>
      <c r="D337" s="272">
        <v>524</v>
      </c>
      <c r="E337" s="272">
        <v>743</v>
      </c>
      <c r="F337" s="272">
        <v>1558</v>
      </c>
    </row>
    <row r="338" spans="1:6" x14ac:dyDescent="0.25">
      <c r="A338" s="278">
        <v>275</v>
      </c>
      <c r="B338" s="376" t="s">
        <v>51</v>
      </c>
      <c r="C338" s="272">
        <v>953</v>
      </c>
      <c r="D338" s="272">
        <v>0</v>
      </c>
      <c r="E338" s="272">
        <v>269</v>
      </c>
      <c r="F338" s="272">
        <v>564</v>
      </c>
    </row>
    <row r="339" spans="1:6" x14ac:dyDescent="0.25">
      <c r="A339" s="278">
        <v>203</v>
      </c>
      <c r="B339" s="376" t="s">
        <v>33</v>
      </c>
      <c r="C339" s="272">
        <v>2971</v>
      </c>
      <c r="D339" s="272">
        <v>286</v>
      </c>
      <c r="E339" s="272">
        <v>762</v>
      </c>
      <c r="F339" s="272">
        <v>1597</v>
      </c>
    </row>
    <row r="340" spans="1:6" x14ac:dyDescent="0.25">
      <c r="A340" s="278">
        <v>79</v>
      </c>
      <c r="B340" s="376" t="s">
        <v>34</v>
      </c>
      <c r="C340" s="272">
        <v>4353</v>
      </c>
      <c r="D340" s="272">
        <v>624</v>
      </c>
      <c r="E340" s="272">
        <v>1014</v>
      </c>
      <c r="F340" s="272">
        <v>2122</v>
      </c>
    </row>
    <row r="341" spans="1:6" x14ac:dyDescent="0.25">
      <c r="A341" s="278">
        <v>231</v>
      </c>
      <c r="B341" s="376" t="s">
        <v>54</v>
      </c>
      <c r="C341" s="272">
        <v>7559</v>
      </c>
      <c r="D341" s="272">
        <v>549</v>
      </c>
      <c r="E341" s="272">
        <v>1985</v>
      </c>
      <c r="F341" s="272">
        <v>4154</v>
      </c>
    </row>
    <row r="342" spans="1:6" x14ac:dyDescent="0.25">
      <c r="A342" s="278">
        <v>115</v>
      </c>
      <c r="B342" s="376" t="s">
        <v>23</v>
      </c>
      <c r="C342" s="272">
        <v>5566</v>
      </c>
      <c r="D342" s="272">
        <v>1000</v>
      </c>
      <c r="E342" s="272">
        <v>1320</v>
      </c>
      <c r="F342" s="272">
        <v>1620</v>
      </c>
    </row>
    <row r="343" spans="1:6" x14ac:dyDescent="0.25">
      <c r="A343" s="278">
        <v>81</v>
      </c>
      <c r="B343" s="376" t="s">
        <v>35</v>
      </c>
      <c r="C343" s="272">
        <v>1780</v>
      </c>
      <c r="D343" s="272">
        <v>0</v>
      </c>
      <c r="E343" s="272">
        <v>367</v>
      </c>
      <c r="F343" s="272">
        <v>800</v>
      </c>
    </row>
    <row r="344" spans="1:6" x14ac:dyDescent="0.25">
      <c r="A344" s="278">
        <v>83</v>
      </c>
      <c r="B344" s="376" t="s">
        <v>26</v>
      </c>
      <c r="C344" s="272">
        <v>7951</v>
      </c>
      <c r="D344" s="272">
        <v>705</v>
      </c>
      <c r="E344" s="272">
        <v>1934</v>
      </c>
      <c r="F344" s="272">
        <v>4047</v>
      </c>
    </row>
    <row r="345" spans="1:6" x14ac:dyDescent="0.25">
      <c r="A345" s="278">
        <v>85</v>
      </c>
      <c r="B345" s="376" t="s">
        <v>36</v>
      </c>
      <c r="C345" s="272">
        <v>2452</v>
      </c>
      <c r="D345" s="272">
        <v>146</v>
      </c>
      <c r="E345" s="272">
        <v>587</v>
      </c>
      <c r="F345" s="272">
        <v>1230</v>
      </c>
    </row>
    <row r="346" spans="1:6" x14ac:dyDescent="0.25">
      <c r="A346" s="278">
        <v>87</v>
      </c>
      <c r="B346" s="376" t="s">
        <v>28</v>
      </c>
      <c r="C346" s="272">
        <v>4830</v>
      </c>
      <c r="D346" s="272">
        <v>741</v>
      </c>
      <c r="E346" s="272">
        <v>1124</v>
      </c>
      <c r="F346" s="272">
        <v>2354</v>
      </c>
    </row>
    <row r="347" spans="1:6" x14ac:dyDescent="0.25">
      <c r="A347" s="278">
        <v>188</v>
      </c>
      <c r="B347" s="376" t="s">
        <v>27</v>
      </c>
      <c r="C347" s="272">
        <v>5675</v>
      </c>
      <c r="D347" s="272">
        <v>5675</v>
      </c>
      <c r="E347" s="272">
        <v>0</v>
      </c>
      <c r="F347" s="272">
        <v>0</v>
      </c>
    </row>
    <row r="348" spans="1:6" x14ac:dyDescent="0.25">
      <c r="A348" s="278">
        <v>29</v>
      </c>
      <c r="B348" s="376" t="s">
        <v>190</v>
      </c>
      <c r="C348" s="272">
        <v>12120</v>
      </c>
      <c r="D348" s="272">
        <v>1987</v>
      </c>
      <c r="E348" s="272">
        <v>2899</v>
      </c>
      <c r="F348" s="272">
        <v>6006</v>
      </c>
    </row>
    <row r="349" spans="1:6" x14ac:dyDescent="0.25">
      <c r="A349" s="278">
        <v>33</v>
      </c>
      <c r="B349" s="376" t="s">
        <v>49</v>
      </c>
      <c r="C349" s="272">
        <v>20692</v>
      </c>
      <c r="D349" s="272">
        <v>4530</v>
      </c>
      <c r="E349" s="272">
        <v>5002</v>
      </c>
      <c r="F349" s="272">
        <v>10362</v>
      </c>
    </row>
    <row r="350" spans="1:6" x14ac:dyDescent="0.25">
      <c r="A350" s="278">
        <v>35</v>
      </c>
      <c r="B350" s="376" t="s">
        <v>50</v>
      </c>
      <c r="C350" s="272">
        <v>2919</v>
      </c>
      <c r="D350" s="272">
        <v>156</v>
      </c>
      <c r="E350" s="272">
        <v>146</v>
      </c>
      <c r="F350" s="272">
        <v>1132</v>
      </c>
    </row>
    <row r="351" spans="1:6" x14ac:dyDescent="0.25">
      <c r="A351" s="278">
        <v>140</v>
      </c>
      <c r="B351" s="376" t="s">
        <v>244</v>
      </c>
      <c r="C351" s="272">
        <v>21706</v>
      </c>
      <c r="D351" s="272">
        <v>3358</v>
      </c>
      <c r="E351" s="272">
        <v>5481</v>
      </c>
      <c r="F351" s="272">
        <v>10909</v>
      </c>
    </row>
    <row r="352" spans="1:6" x14ac:dyDescent="0.25">
      <c r="A352" s="278">
        <v>49</v>
      </c>
      <c r="B352" s="376" t="s">
        <v>18</v>
      </c>
      <c r="C352" s="272">
        <v>9561</v>
      </c>
      <c r="D352" s="272">
        <v>1797</v>
      </c>
      <c r="E352" s="272">
        <v>2286</v>
      </c>
      <c r="F352" s="272">
        <v>4737</v>
      </c>
    </row>
    <row r="353" spans="1:8" x14ac:dyDescent="0.25">
      <c r="A353" s="278">
        <v>4</v>
      </c>
      <c r="B353" s="376" t="s">
        <v>53</v>
      </c>
      <c r="C353" s="272">
        <v>18236</v>
      </c>
      <c r="D353" s="272">
        <v>3085</v>
      </c>
      <c r="E353" s="272">
        <v>4498</v>
      </c>
      <c r="F353" s="272">
        <v>9318</v>
      </c>
    </row>
    <row r="354" spans="1:8" x14ac:dyDescent="0.25">
      <c r="A354" s="278">
        <v>10</v>
      </c>
      <c r="B354" s="376" t="s">
        <v>246</v>
      </c>
      <c r="C354" s="272">
        <v>30836</v>
      </c>
      <c r="D354" s="272">
        <v>4967</v>
      </c>
      <c r="E354" s="272">
        <v>7425</v>
      </c>
      <c r="F354" s="272">
        <v>15383</v>
      </c>
    </row>
    <row r="355" spans="1:8" x14ac:dyDescent="0.25">
      <c r="A355" s="278">
        <v>13</v>
      </c>
      <c r="B355" s="376" t="s">
        <v>63</v>
      </c>
      <c r="C355" s="272">
        <v>5242</v>
      </c>
      <c r="D355" s="272">
        <v>942</v>
      </c>
      <c r="E355" s="272">
        <v>1254</v>
      </c>
      <c r="F355" s="272">
        <v>2597</v>
      </c>
    </row>
    <row r="356" spans="1:8" x14ac:dyDescent="0.25">
      <c r="A356" s="278">
        <v>354</v>
      </c>
      <c r="B356" s="376" t="s">
        <v>59</v>
      </c>
      <c r="C356" s="272">
        <v>28120</v>
      </c>
      <c r="D356" s="272">
        <v>4317</v>
      </c>
      <c r="E356" s="272">
        <v>7143</v>
      </c>
      <c r="F356" s="272">
        <v>14801</v>
      </c>
    </row>
    <row r="357" spans="1:8" x14ac:dyDescent="0.25">
      <c r="A357" s="278">
        <v>173</v>
      </c>
      <c r="B357" s="376" t="s">
        <v>42</v>
      </c>
      <c r="C357" s="272">
        <v>398</v>
      </c>
      <c r="D357" s="272">
        <v>0</v>
      </c>
      <c r="E357" s="272">
        <v>77</v>
      </c>
      <c r="F357" s="272">
        <v>159</v>
      </c>
    </row>
    <row r="358" spans="1:8" x14ac:dyDescent="0.25">
      <c r="A358" s="278">
        <v>151</v>
      </c>
      <c r="B358" s="376" t="s">
        <v>66</v>
      </c>
      <c r="C358" s="272">
        <v>1800</v>
      </c>
      <c r="D358" s="272">
        <v>156</v>
      </c>
      <c r="E358" s="272">
        <v>412</v>
      </c>
      <c r="F358" s="272">
        <v>856</v>
      </c>
    </row>
    <row r="359" spans="1:8" x14ac:dyDescent="0.25">
      <c r="A359" s="304">
        <v>294</v>
      </c>
      <c r="B359" s="377" t="s">
        <v>58</v>
      </c>
      <c r="C359" s="272">
        <v>622</v>
      </c>
      <c r="D359" s="272">
        <v>0</v>
      </c>
      <c r="E359" s="272">
        <v>60</v>
      </c>
      <c r="F359" s="272">
        <v>124</v>
      </c>
    </row>
    <row r="360" spans="1:8" x14ac:dyDescent="0.25">
      <c r="A360" s="304">
        <v>205</v>
      </c>
      <c r="B360" s="377" t="s">
        <v>250</v>
      </c>
      <c r="C360" s="272">
        <v>6665</v>
      </c>
      <c r="D360" s="272">
        <v>765</v>
      </c>
      <c r="E360" s="272">
        <v>647</v>
      </c>
      <c r="F360" s="272">
        <v>3410</v>
      </c>
    </row>
    <row r="361" spans="1:8" x14ac:dyDescent="0.25">
      <c r="A361" s="278">
        <v>144</v>
      </c>
      <c r="B361" s="376" t="s">
        <v>24</v>
      </c>
      <c r="C361" s="272">
        <v>3000</v>
      </c>
      <c r="D361" s="272">
        <v>3000</v>
      </c>
      <c r="E361" s="272">
        <v>0</v>
      </c>
      <c r="F361" s="272">
        <v>0</v>
      </c>
    </row>
    <row r="362" spans="1:8" x14ac:dyDescent="0.25">
      <c r="A362" s="278">
        <v>142</v>
      </c>
      <c r="B362" s="376" t="s">
        <v>181</v>
      </c>
      <c r="C362" s="272">
        <v>430</v>
      </c>
      <c r="D362" s="272">
        <v>0</v>
      </c>
      <c r="E362" s="272">
        <v>0</v>
      </c>
      <c r="F362" s="272">
        <v>0</v>
      </c>
    </row>
    <row r="363" spans="1:8" x14ac:dyDescent="0.25">
      <c r="A363" s="278">
        <v>129</v>
      </c>
      <c r="B363" s="376" t="s">
        <v>230</v>
      </c>
      <c r="C363" s="272">
        <v>570</v>
      </c>
      <c r="D363" s="272">
        <v>0</v>
      </c>
      <c r="E363" s="272">
        <v>0</v>
      </c>
      <c r="F363" s="272">
        <v>0</v>
      </c>
    </row>
    <row r="364" spans="1:8" x14ac:dyDescent="0.25">
      <c r="A364" s="278"/>
      <c r="B364" s="293" t="s">
        <v>43</v>
      </c>
      <c r="C364" s="294">
        <f>SUM(C327:C363)</f>
        <v>264095</v>
      </c>
      <c r="D364" s="294">
        <f t="shared" ref="D364:F364" si="1">SUM(D327:D363)</f>
        <v>45456</v>
      </c>
      <c r="E364" s="294">
        <f t="shared" si="1"/>
        <v>60339</v>
      </c>
      <c r="F364" s="294">
        <f t="shared" si="1"/>
        <v>126338</v>
      </c>
    </row>
    <row r="365" spans="1:8" ht="20.25" customHeight="1" x14ac:dyDescent="0.25"/>
    <row r="366" spans="1:8" ht="23.25" customHeight="1" x14ac:dyDescent="0.25">
      <c r="B366" s="510" t="s">
        <v>361</v>
      </c>
      <c r="C366" s="510"/>
      <c r="D366" s="510"/>
      <c r="E366" s="510"/>
      <c r="F366" s="510"/>
    </row>
    <row r="367" spans="1:8" ht="18.75" customHeight="1" x14ac:dyDescent="0.25">
      <c r="A367" s="511" t="s">
        <v>2</v>
      </c>
      <c r="B367" s="511" t="s">
        <v>280</v>
      </c>
      <c r="C367" s="511" t="s">
        <v>362</v>
      </c>
      <c r="D367" s="378" t="s">
        <v>184</v>
      </c>
      <c r="E367" s="511" t="s">
        <v>363</v>
      </c>
      <c r="F367" s="511" t="s">
        <v>364</v>
      </c>
      <c r="G367" s="511" t="s">
        <v>365</v>
      </c>
      <c r="H367" s="379"/>
    </row>
    <row r="368" spans="1:8" ht="65.25" customHeight="1" x14ac:dyDescent="0.25">
      <c r="A368" s="512"/>
      <c r="B368" s="516"/>
      <c r="C368" s="512"/>
      <c r="D368" s="380" t="s">
        <v>366</v>
      </c>
      <c r="E368" s="512"/>
      <c r="F368" s="512"/>
      <c r="G368" s="512"/>
      <c r="H368" s="381"/>
    </row>
    <row r="369" spans="1:8" x14ac:dyDescent="0.25">
      <c r="A369" s="378">
        <v>61</v>
      </c>
      <c r="B369" s="382" t="s">
        <v>48</v>
      </c>
      <c r="C369" s="383">
        <v>3053</v>
      </c>
      <c r="D369" s="384">
        <v>342</v>
      </c>
      <c r="E369" s="384">
        <v>0</v>
      </c>
      <c r="F369" s="384">
        <v>27</v>
      </c>
      <c r="G369" s="104">
        <v>852</v>
      </c>
      <c r="H369" s="111"/>
    </row>
    <row r="370" spans="1:8" x14ac:dyDescent="0.25">
      <c r="A370" s="378">
        <v>59</v>
      </c>
      <c r="B370" s="382" t="s">
        <v>29</v>
      </c>
      <c r="C370" s="383">
        <v>14142</v>
      </c>
      <c r="D370" s="384">
        <v>1610</v>
      </c>
      <c r="E370" s="384">
        <v>42</v>
      </c>
      <c r="F370" s="384">
        <v>143</v>
      </c>
      <c r="G370" s="104">
        <v>3798</v>
      </c>
      <c r="H370" s="111"/>
    </row>
    <row r="371" spans="1:8" x14ac:dyDescent="0.25">
      <c r="A371" s="378">
        <v>63</v>
      </c>
      <c r="B371" s="382" t="s">
        <v>30</v>
      </c>
      <c r="C371" s="383">
        <v>5484</v>
      </c>
      <c r="D371" s="384">
        <v>606</v>
      </c>
      <c r="E371" s="384">
        <v>34</v>
      </c>
      <c r="F371" s="384">
        <v>103</v>
      </c>
      <c r="G371" s="104">
        <v>3873</v>
      </c>
      <c r="H371" s="111"/>
    </row>
    <row r="372" spans="1:8" x14ac:dyDescent="0.25">
      <c r="A372" s="378">
        <v>65</v>
      </c>
      <c r="B372" s="382" t="s">
        <v>31</v>
      </c>
      <c r="C372" s="383">
        <v>5859</v>
      </c>
      <c r="D372" s="384">
        <v>637</v>
      </c>
      <c r="E372" s="384">
        <v>0</v>
      </c>
      <c r="F372" s="384">
        <v>62</v>
      </c>
      <c r="G372" s="104">
        <v>1293</v>
      </c>
      <c r="H372" s="111"/>
    </row>
    <row r="373" spans="1:8" x14ac:dyDescent="0.25">
      <c r="A373" s="378">
        <v>67</v>
      </c>
      <c r="B373" s="382" t="s">
        <v>234</v>
      </c>
      <c r="C373" s="383">
        <v>5201</v>
      </c>
      <c r="D373" s="384">
        <v>578</v>
      </c>
      <c r="E373" s="384">
        <v>50</v>
      </c>
      <c r="F373" s="384">
        <v>110</v>
      </c>
      <c r="G373" s="104">
        <v>1131</v>
      </c>
      <c r="H373" s="111"/>
    </row>
    <row r="374" spans="1:8" x14ac:dyDescent="0.25">
      <c r="A374" s="378">
        <v>69</v>
      </c>
      <c r="B374" s="382" t="s">
        <v>32</v>
      </c>
      <c r="C374" s="383">
        <v>7848</v>
      </c>
      <c r="D374" s="384">
        <v>877</v>
      </c>
      <c r="E374" s="384">
        <v>0</v>
      </c>
      <c r="F374" s="384">
        <v>68</v>
      </c>
      <c r="G374" s="104">
        <v>2248</v>
      </c>
      <c r="H374" s="111"/>
    </row>
    <row r="375" spans="1:8" x14ac:dyDescent="0.25">
      <c r="A375" s="378">
        <v>71</v>
      </c>
      <c r="B375" s="382" t="s">
        <v>14</v>
      </c>
      <c r="C375" s="383">
        <v>7576</v>
      </c>
      <c r="D375" s="384">
        <v>838</v>
      </c>
      <c r="E375" s="384">
        <v>67</v>
      </c>
      <c r="F375" s="384">
        <v>76</v>
      </c>
      <c r="G375" s="104">
        <v>1454</v>
      </c>
      <c r="H375" s="111"/>
    </row>
    <row r="376" spans="1:8" x14ac:dyDescent="0.25">
      <c r="A376" s="378">
        <v>103</v>
      </c>
      <c r="B376" s="382" t="s">
        <v>15</v>
      </c>
      <c r="C376" s="383">
        <v>16004</v>
      </c>
      <c r="D376" s="384">
        <v>1775</v>
      </c>
      <c r="E376" s="384">
        <v>25</v>
      </c>
      <c r="F376" s="384">
        <v>158</v>
      </c>
      <c r="G376" s="104">
        <v>4350</v>
      </c>
      <c r="H376" s="111"/>
    </row>
    <row r="377" spans="1:8" x14ac:dyDescent="0.25">
      <c r="A377" s="378">
        <v>73</v>
      </c>
      <c r="B377" s="382" t="s">
        <v>17</v>
      </c>
      <c r="C377" s="383">
        <v>5024</v>
      </c>
      <c r="D377" s="384">
        <v>556</v>
      </c>
      <c r="E377" s="384">
        <v>0</v>
      </c>
      <c r="F377" s="384">
        <v>66</v>
      </c>
      <c r="G377" s="104">
        <v>1093</v>
      </c>
      <c r="H377" s="111"/>
    </row>
    <row r="378" spans="1:8" x14ac:dyDescent="0.25">
      <c r="A378" s="378">
        <v>232</v>
      </c>
      <c r="B378" s="382" t="s">
        <v>55</v>
      </c>
      <c r="C378" s="383">
        <v>10088</v>
      </c>
      <c r="D378" s="384">
        <v>1192</v>
      </c>
      <c r="E378" s="384">
        <v>0</v>
      </c>
      <c r="F378" s="384">
        <v>63</v>
      </c>
      <c r="G378" s="104">
        <v>3111</v>
      </c>
      <c r="H378" s="111"/>
    </row>
    <row r="379" spans="1:8" x14ac:dyDescent="0.25">
      <c r="A379" s="378">
        <v>75</v>
      </c>
      <c r="B379" s="382" t="s">
        <v>235</v>
      </c>
      <c r="C379" s="383">
        <v>5190</v>
      </c>
      <c r="D379" s="384">
        <v>567</v>
      </c>
      <c r="E379" s="384">
        <v>65</v>
      </c>
      <c r="F379" s="384">
        <v>146</v>
      </c>
      <c r="G379" s="104">
        <v>1090</v>
      </c>
      <c r="H379" s="111"/>
    </row>
    <row r="380" spans="1:8" x14ac:dyDescent="0.25">
      <c r="A380" s="378">
        <v>275</v>
      </c>
      <c r="B380" s="382" t="s">
        <v>51</v>
      </c>
      <c r="C380" s="383">
        <v>1934</v>
      </c>
      <c r="D380" s="384">
        <v>218</v>
      </c>
      <c r="E380" s="384">
        <v>10</v>
      </c>
      <c r="F380" s="384">
        <v>20</v>
      </c>
      <c r="G380" s="104">
        <v>391</v>
      </c>
      <c r="H380" s="111"/>
    </row>
    <row r="381" spans="1:8" x14ac:dyDescent="0.25">
      <c r="A381" s="378">
        <v>203</v>
      </c>
      <c r="B381" s="382" t="s">
        <v>33</v>
      </c>
      <c r="C381" s="383">
        <v>5248</v>
      </c>
      <c r="D381" s="384">
        <v>590</v>
      </c>
      <c r="E381" s="384">
        <v>0</v>
      </c>
      <c r="F381" s="384">
        <v>66</v>
      </c>
      <c r="G381" s="104">
        <v>1334</v>
      </c>
      <c r="H381" s="111"/>
    </row>
    <row r="382" spans="1:8" x14ac:dyDescent="0.25">
      <c r="A382" s="378">
        <v>79</v>
      </c>
      <c r="B382" s="382" t="s">
        <v>34</v>
      </c>
      <c r="C382" s="383">
        <v>6911</v>
      </c>
      <c r="D382" s="384">
        <v>775</v>
      </c>
      <c r="E382" s="384">
        <v>0</v>
      </c>
      <c r="F382" s="384">
        <v>70</v>
      </c>
      <c r="G382" s="104">
        <v>1867</v>
      </c>
      <c r="H382" s="111"/>
    </row>
    <row r="383" spans="1:8" x14ac:dyDescent="0.25">
      <c r="A383" s="378">
        <v>231</v>
      </c>
      <c r="B383" s="382" t="s">
        <v>268</v>
      </c>
      <c r="C383" s="383">
        <v>13804</v>
      </c>
      <c r="D383" s="384">
        <v>1574</v>
      </c>
      <c r="E383" s="384">
        <v>0</v>
      </c>
      <c r="F383" s="384">
        <v>95</v>
      </c>
      <c r="G383" s="104">
        <v>3994</v>
      </c>
      <c r="H383" s="111"/>
    </row>
    <row r="384" spans="1:8" x14ac:dyDescent="0.25">
      <c r="A384" s="378">
        <v>115</v>
      </c>
      <c r="B384" s="382" t="s">
        <v>23</v>
      </c>
      <c r="C384" s="383">
        <v>14779</v>
      </c>
      <c r="D384" s="384">
        <v>1703</v>
      </c>
      <c r="E384" s="384">
        <v>0</v>
      </c>
      <c r="F384" s="384">
        <v>53</v>
      </c>
      <c r="G384" s="104">
        <v>4298</v>
      </c>
      <c r="H384" s="111"/>
    </row>
    <row r="385" spans="1:8" x14ac:dyDescent="0.25">
      <c r="A385" s="378">
        <v>81</v>
      </c>
      <c r="B385" s="382" t="s">
        <v>35</v>
      </c>
      <c r="C385" s="383">
        <v>2488</v>
      </c>
      <c r="D385" s="384">
        <v>280</v>
      </c>
      <c r="E385" s="384">
        <v>0</v>
      </c>
      <c r="F385" s="384">
        <v>90</v>
      </c>
      <c r="G385" s="104">
        <v>478</v>
      </c>
      <c r="H385" s="111"/>
    </row>
    <row r="386" spans="1:8" x14ac:dyDescent="0.25">
      <c r="A386" s="378">
        <v>83</v>
      </c>
      <c r="B386" s="382" t="s">
        <v>26</v>
      </c>
      <c r="C386" s="383">
        <v>13337</v>
      </c>
      <c r="D386" s="384">
        <v>1574</v>
      </c>
      <c r="E386" s="384">
        <v>0</v>
      </c>
      <c r="F386" s="384">
        <v>86</v>
      </c>
      <c r="G386" s="104">
        <v>4907</v>
      </c>
      <c r="H386" s="111"/>
    </row>
    <row r="387" spans="1:8" x14ac:dyDescent="0.25">
      <c r="A387" s="378">
        <v>85</v>
      </c>
      <c r="B387" s="382" t="s">
        <v>36</v>
      </c>
      <c r="C387" s="383">
        <v>4050</v>
      </c>
      <c r="D387" s="384">
        <v>446</v>
      </c>
      <c r="E387" s="384">
        <v>0</v>
      </c>
      <c r="F387" s="384">
        <v>47</v>
      </c>
      <c r="G387" s="104">
        <v>1091</v>
      </c>
      <c r="H387" s="111"/>
    </row>
    <row r="388" spans="1:8" x14ac:dyDescent="0.25">
      <c r="A388" s="378">
        <v>87</v>
      </c>
      <c r="B388" s="382" t="s">
        <v>28</v>
      </c>
      <c r="C388" s="383">
        <v>7932</v>
      </c>
      <c r="D388" s="384">
        <v>865</v>
      </c>
      <c r="E388" s="384">
        <v>0</v>
      </c>
      <c r="F388" s="384">
        <v>73</v>
      </c>
      <c r="G388" s="104">
        <v>1798</v>
      </c>
      <c r="H388" s="111"/>
    </row>
    <row r="389" spans="1:8" x14ac:dyDescent="0.25">
      <c r="A389" s="378">
        <v>29</v>
      </c>
      <c r="B389" s="382" t="s">
        <v>190</v>
      </c>
      <c r="C389" s="383">
        <v>20689</v>
      </c>
      <c r="D389" s="384">
        <v>2320</v>
      </c>
      <c r="E389" s="384">
        <v>0</v>
      </c>
      <c r="F389" s="384">
        <v>0</v>
      </c>
      <c r="G389" s="104">
        <v>3090</v>
      </c>
      <c r="H389" s="111"/>
    </row>
    <row r="390" spans="1:8" x14ac:dyDescent="0.25">
      <c r="A390" s="378">
        <v>33</v>
      </c>
      <c r="B390" s="382" t="s">
        <v>49</v>
      </c>
      <c r="C390" s="383">
        <v>42626</v>
      </c>
      <c r="D390" s="384">
        <v>4943</v>
      </c>
      <c r="E390" s="384">
        <v>0</v>
      </c>
      <c r="F390" s="384">
        <v>0</v>
      </c>
      <c r="G390" s="104">
        <v>9052</v>
      </c>
      <c r="H390" s="111"/>
    </row>
    <row r="391" spans="1:8" x14ac:dyDescent="0.25">
      <c r="A391" s="378">
        <v>35</v>
      </c>
      <c r="B391" s="382" t="s">
        <v>50</v>
      </c>
      <c r="C391" s="383">
        <v>12865</v>
      </c>
      <c r="D391" s="384">
        <v>2859</v>
      </c>
      <c r="E391" s="384">
        <v>0</v>
      </c>
      <c r="F391" s="384">
        <v>0</v>
      </c>
      <c r="G391" s="104">
        <v>9721</v>
      </c>
      <c r="H391" s="111"/>
    </row>
    <row r="392" spans="1:8" x14ac:dyDescent="0.25">
      <c r="A392" s="378">
        <v>140</v>
      </c>
      <c r="B392" s="382" t="s">
        <v>244</v>
      </c>
      <c r="C392" s="383">
        <v>32393</v>
      </c>
      <c r="D392" s="384">
        <v>3809</v>
      </c>
      <c r="E392" s="384">
        <v>0</v>
      </c>
      <c r="F392" s="384">
        <v>163</v>
      </c>
      <c r="G392" s="104">
        <v>8695</v>
      </c>
      <c r="H392" s="111"/>
    </row>
    <row r="393" spans="1:8" x14ac:dyDescent="0.25">
      <c r="A393" s="378">
        <v>49</v>
      </c>
      <c r="B393" s="382" t="s">
        <v>18</v>
      </c>
      <c r="C393" s="383">
        <v>15582</v>
      </c>
      <c r="D393" s="384">
        <v>1812</v>
      </c>
      <c r="E393" s="384">
        <v>0</v>
      </c>
      <c r="F393" s="384">
        <v>0</v>
      </c>
      <c r="G393" s="104">
        <v>2438</v>
      </c>
      <c r="H393" s="111"/>
    </row>
    <row r="394" spans="1:8" x14ac:dyDescent="0.25">
      <c r="A394" s="378">
        <v>133</v>
      </c>
      <c r="B394" s="292" t="s">
        <v>228</v>
      </c>
      <c r="C394" s="383">
        <v>0</v>
      </c>
      <c r="D394" s="384">
        <v>0</v>
      </c>
      <c r="E394" s="384">
        <v>111</v>
      </c>
      <c r="F394" s="384">
        <v>124</v>
      </c>
      <c r="G394" s="104">
        <v>0</v>
      </c>
      <c r="H394" s="111"/>
    </row>
    <row r="395" spans="1:8" x14ac:dyDescent="0.25">
      <c r="A395" s="378">
        <v>135</v>
      </c>
      <c r="B395" s="382" t="s">
        <v>245</v>
      </c>
      <c r="C395" s="383">
        <v>0</v>
      </c>
      <c r="D395" s="384">
        <v>0</v>
      </c>
      <c r="E395" s="384">
        <v>60</v>
      </c>
      <c r="F395" s="384">
        <v>585</v>
      </c>
      <c r="G395" s="104">
        <v>0</v>
      </c>
      <c r="H395" s="111"/>
    </row>
    <row r="396" spans="1:8" x14ac:dyDescent="0.25">
      <c r="A396" s="378">
        <v>4</v>
      </c>
      <c r="B396" s="382" t="s">
        <v>53</v>
      </c>
      <c r="C396" s="383">
        <v>30059</v>
      </c>
      <c r="D396" s="384">
        <v>3571</v>
      </c>
      <c r="E396" s="384">
        <v>0</v>
      </c>
      <c r="F396" s="384">
        <v>0</v>
      </c>
      <c r="G396" s="104">
        <v>5816</v>
      </c>
      <c r="H396" s="111"/>
    </row>
    <row r="397" spans="1:8" x14ac:dyDescent="0.25">
      <c r="A397" s="378">
        <v>10</v>
      </c>
      <c r="B397" s="382" t="s">
        <v>246</v>
      </c>
      <c r="C397" s="383">
        <v>49704</v>
      </c>
      <c r="D397" s="384">
        <v>5918</v>
      </c>
      <c r="E397" s="384">
        <v>0</v>
      </c>
      <c r="F397" s="384">
        <v>0</v>
      </c>
      <c r="G397" s="104">
        <v>8314</v>
      </c>
      <c r="H397" s="111"/>
    </row>
    <row r="398" spans="1:8" x14ac:dyDescent="0.25">
      <c r="A398" s="378">
        <v>13</v>
      </c>
      <c r="B398" s="382" t="s">
        <v>63</v>
      </c>
      <c r="C398" s="383">
        <v>8358</v>
      </c>
      <c r="D398" s="384">
        <v>1022</v>
      </c>
      <c r="E398" s="384">
        <v>0</v>
      </c>
      <c r="F398" s="384">
        <v>0</v>
      </c>
      <c r="G398" s="104">
        <v>3009</v>
      </c>
      <c r="H398" s="111"/>
    </row>
    <row r="399" spans="1:8" x14ac:dyDescent="0.25">
      <c r="A399" s="378">
        <v>354</v>
      </c>
      <c r="B399" s="382" t="s">
        <v>59</v>
      </c>
      <c r="C399" s="383">
        <v>49870</v>
      </c>
      <c r="D399" s="384">
        <v>5610</v>
      </c>
      <c r="E399" s="384">
        <v>0</v>
      </c>
      <c r="F399" s="384">
        <v>210</v>
      </c>
      <c r="G399" s="104">
        <v>10187</v>
      </c>
      <c r="H399" s="111"/>
    </row>
    <row r="400" spans="1:8" x14ac:dyDescent="0.25">
      <c r="A400" s="378">
        <v>173</v>
      </c>
      <c r="B400" s="382" t="s">
        <v>42</v>
      </c>
      <c r="C400" s="383">
        <v>362</v>
      </c>
      <c r="D400" s="384">
        <v>59</v>
      </c>
      <c r="E400" s="384">
        <v>0</v>
      </c>
      <c r="F400" s="384">
        <v>0</v>
      </c>
      <c r="G400" s="104">
        <v>79</v>
      </c>
      <c r="H400" s="111"/>
    </row>
    <row r="401" spans="1:8" x14ac:dyDescent="0.25">
      <c r="A401" s="378">
        <v>151</v>
      </c>
      <c r="B401" s="382" t="s">
        <v>66</v>
      </c>
      <c r="C401" s="383">
        <v>3119</v>
      </c>
      <c r="D401" s="384">
        <v>311</v>
      </c>
      <c r="E401" s="384">
        <v>0</v>
      </c>
      <c r="F401" s="384">
        <v>0</v>
      </c>
      <c r="G401" s="104">
        <v>126</v>
      </c>
      <c r="H401" s="111"/>
    </row>
    <row r="402" spans="1:8" x14ac:dyDescent="0.25">
      <c r="A402" s="378">
        <v>295</v>
      </c>
      <c r="B402" s="382" t="s">
        <v>367</v>
      </c>
      <c r="C402" s="383">
        <v>0</v>
      </c>
      <c r="D402" s="384">
        <v>0</v>
      </c>
      <c r="E402" s="384">
        <v>0</v>
      </c>
      <c r="F402" s="384">
        <v>0</v>
      </c>
      <c r="G402" s="104">
        <v>0</v>
      </c>
      <c r="H402" s="111"/>
    </row>
    <row r="403" spans="1:8" x14ac:dyDescent="0.25">
      <c r="A403" s="378">
        <v>294</v>
      </c>
      <c r="B403" s="382" t="s">
        <v>58</v>
      </c>
      <c r="C403" s="383">
        <v>578</v>
      </c>
      <c r="D403" s="384">
        <v>44</v>
      </c>
      <c r="E403" s="384">
        <v>0</v>
      </c>
      <c r="F403" s="384">
        <v>0</v>
      </c>
      <c r="G403" s="104">
        <v>46</v>
      </c>
      <c r="H403" s="111"/>
    </row>
    <row r="404" spans="1:8" x14ac:dyDescent="0.25">
      <c r="A404" s="378">
        <v>205</v>
      </c>
      <c r="B404" s="382" t="s">
        <v>250</v>
      </c>
      <c r="C404" s="383">
        <v>10965</v>
      </c>
      <c r="D404" s="384">
        <v>1334</v>
      </c>
      <c r="E404" s="384">
        <v>0</v>
      </c>
      <c r="F404" s="384">
        <v>0</v>
      </c>
      <c r="G404" s="104">
        <v>2105</v>
      </c>
      <c r="H404" s="111"/>
    </row>
    <row r="405" spans="1:8" x14ac:dyDescent="0.25">
      <c r="A405" s="378">
        <v>142</v>
      </c>
      <c r="B405" s="382" t="s">
        <v>181</v>
      </c>
      <c r="C405" s="383"/>
      <c r="D405" s="384">
        <v>0</v>
      </c>
      <c r="E405" s="384">
        <v>0</v>
      </c>
      <c r="F405" s="384">
        <v>0</v>
      </c>
      <c r="G405" s="104">
        <v>8970</v>
      </c>
      <c r="H405" s="111"/>
    </row>
    <row r="406" spans="1:8" x14ac:dyDescent="0.25">
      <c r="A406" s="378">
        <v>129</v>
      </c>
      <c r="B406" s="382" t="s">
        <v>230</v>
      </c>
      <c r="C406" s="383"/>
      <c r="D406" s="384">
        <v>0</v>
      </c>
      <c r="E406" s="384">
        <v>0</v>
      </c>
      <c r="F406" s="384">
        <v>0</v>
      </c>
      <c r="G406" s="104">
        <v>17796</v>
      </c>
      <c r="H406" s="111"/>
    </row>
    <row r="407" spans="1:8" x14ac:dyDescent="0.25">
      <c r="A407" s="428">
        <v>292</v>
      </c>
      <c r="B407" s="429" t="s">
        <v>22</v>
      </c>
      <c r="C407" s="383"/>
      <c r="D407" s="384"/>
      <c r="E407" s="384"/>
      <c r="F407" s="384"/>
      <c r="G407" s="104">
        <v>2000</v>
      </c>
      <c r="H407" s="111"/>
    </row>
    <row r="408" spans="1:8" x14ac:dyDescent="0.25">
      <c r="A408" s="378"/>
      <c r="B408" s="385" t="s">
        <v>93</v>
      </c>
      <c r="C408" s="386">
        <f t="shared" ref="C408:F408" si="2">SUM(C369:C404)</f>
        <v>433122</v>
      </c>
      <c r="D408" s="386">
        <f t="shared" si="2"/>
        <v>51215</v>
      </c>
      <c r="E408" s="386">
        <f t="shared" si="2"/>
        <v>464</v>
      </c>
      <c r="F408" s="386">
        <f t="shared" si="2"/>
        <v>2704</v>
      </c>
      <c r="G408" s="386">
        <f>SUM(G369:G407)</f>
        <v>135895</v>
      </c>
      <c r="H408" s="387"/>
    </row>
    <row r="409" spans="1:8" ht="17.25" customHeight="1" x14ac:dyDescent="0.25"/>
    <row r="410" spans="1:8" ht="22.5" customHeight="1" x14ac:dyDescent="0.25">
      <c r="B410" s="510" t="s">
        <v>368</v>
      </c>
      <c r="C410" s="510"/>
      <c r="D410" s="510"/>
    </row>
    <row r="411" spans="1:8" ht="15" customHeight="1" x14ac:dyDescent="0.25">
      <c r="A411" s="511" t="s">
        <v>2</v>
      </c>
      <c r="B411" s="513" t="s">
        <v>280</v>
      </c>
      <c r="C411" s="511" t="s">
        <v>369</v>
      </c>
      <c r="D411" s="511" t="s">
        <v>370</v>
      </c>
    </row>
    <row r="412" spans="1:8" ht="49.5" customHeight="1" x14ac:dyDescent="0.25">
      <c r="A412" s="512"/>
      <c r="B412" s="514"/>
      <c r="C412" s="515"/>
      <c r="D412" s="515"/>
    </row>
    <row r="413" spans="1:8" x14ac:dyDescent="0.25">
      <c r="A413" s="378">
        <v>61</v>
      </c>
      <c r="B413" s="382" t="s">
        <v>48</v>
      </c>
      <c r="C413" s="384">
        <v>511</v>
      </c>
      <c r="D413" s="384">
        <v>1244</v>
      </c>
      <c r="E413" s="388"/>
    </row>
    <row r="414" spans="1:8" x14ac:dyDescent="0.25">
      <c r="A414" s="378">
        <v>59</v>
      </c>
      <c r="B414" s="382" t="s">
        <v>29</v>
      </c>
      <c r="C414" s="384">
        <v>2587</v>
      </c>
      <c r="D414" s="384">
        <v>5860</v>
      </c>
      <c r="E414" s="388"/>
    </row>
    <row r="415" spans="1:8" x14ac:dyDescent="0.25">
      <c r="A415" s="378">
        <v>63</v>
      </c>
      <c r="B415" s="382" t="s">
        <v>30</v>
      </c>
      <c r="C415" s="384">
        <v>864</v>
      </c>
      <c r="D415" s="384">
        <v>2321</v>
      </c>
      <c r="E415" s="388"/>
    </row>
    <row r="416" spans="1:8" x14ac:dyDescent="0.25">
      <c r="A416" s="378">
        <v>65</v>
      </c>
      <c r="B416" s="382" t="s">
        <v>31</v>
      </c>
      <c r="C416" s="384">
        <v>833</v>
      </c>
      <c r="D416" s="384">
        <v>2227</v>
      </c>
      <c r="E416" s="388"/>
    </row>
    <row r="417" spans="1:5" x14ac:dyDescent="0.25">
      <c r="A417" s="378">
        <v>67</v>
      </c>
      <c r="B417" s="382" t="s">
        <v>234</v>
      </c>
      <c r="C417" s="384">
        <v>840</v>
      </c>
      <c r="D417" s="384">
        <v>2010</v>
      </c>
      <c r="E417" s="388"/>
    </row>
    <row r="418" spans="1:5" x14ac:dyDescent="0.25">
      <c r="A418" s="378">
        <v>69</v>
      </c>
      <c r="B418" s="382" t="s">
        <v>32</v>
      </c>
      <c r="C418" s="384">
        <v>1311</v>
      </c>
      <c r="D418" s="384">
        <v>3325</v>
      </c>
      <c r="E418" s="388"/>
    </row>
    <row r="419" spans="1:5" x14ac:dyDescent="0.25">
      <c r="A419" s="378">
        <v>71</v>
      </c>
      <c r="B419" s="382" t="s">
        <v>14</v>
      </c>
      <c r="C419" s="384">
        <v>1191</v>
      </c>
      <c r="D419" s="384">
        <v>3265</v>
      </c>
      <c r="E419" s="388"/>
    </row>
    <row r="420" spans="1:5" x14ac:dyDescent="0.25">
      <c r="A420" s="378">
        <v>103</v>
      </c>
      <c r="B420" s="382" t="s">
        <v>15</v>
      </c>
      <c r="C420" s="384">
        <v>2549</v>
      </c>
      <c r="D420" s="384">
        <v>6469</v>
      </c>
      <c r="E420" s="388"/>
    </row>
    <row r="421" spans="1:5" x14ac:dyDescent="0.25">
      <c r="A421" s="378">
        <v>73</v>
      </c>
      <c r="B421" s="382" t="s">
        <v>17</v>
      </c>
      <c r="C421" s="384">
        <v>785</v>
      </c>
      <c r="D421" s="384">
        <v>1877</v>
      </c>
      <c r="E421" s="388"/>
    </row>
    <row r="422" spans="1:5" x14ac:dyDescent="0.25">
      <c r="A422" s="378">
        <v>232</v>
      </c>
      <c r="B422" s="382" t="s">
        <v>55</v>
      </c>
      <c r="C422" s="384">
        <v>2191</v>
      </c>
      <c r="D422" s="384">
        <v>6464</v>
      </c>
      <c r="E422" s="388"/>
    </row>
    <row r="423" spans="1:5" x14ac:dyDescent="0.25">
      <c r="A423" s="378">
        <v>75</v>
      </c>
      <c r="B423" s="382" t="s">
        <v>235</v>
      </c>
      <c r="C423" s="384">
        <v>762</v>
      </c>
      <c r="D423" s="384">
        <v>2095</v>
      </c>
      <c r="E423" s="388"/>
    </row>
    <row r="424" spans="1:5" x14ac:dyDescent="0.25">
      <c r="A424" s="378">
        <v>275</v>
      </c>
      <c r="B424" s="382" t="s">
        <v>51</v>
      </c>
      <c r="C424" s="384">
        <v>333</v>
      </c>
      <c r="D424" s="384">
        <v>928</v>
      </c>
      <c r="E424" s="388"/>
    </row>
    <row r="425" spans="1:5" x14ac:dyDescent="0.25">
      <c r="A425" s="378">
        <v>203</v>
      </c>
      <c r="B425" s="382" t="s">
        <v>33</v>
      </c>
      <c r="C425" s="384">
        <v>898</v>
      </c>
      <c r="D425" s="384">
        <v>2372</v>
      </c>
      <c r="E425" s="388"/>
    </row>
    <row r="426" spans="1:5" x14ac:dyDescent="0.25">
      <c r="A426" s="378">
        <v>79</v>
      </c>
      <c r="B426" s="382" t="s">
        <v>34</v>
      </c>
      <c r="C426" s="384">
        <v>1169</v>
      </c>
      <c r="D426" s="384">
        <v>2869</v>
      </c>
      <c r="E426" s="388"/>
    </row>
    <row r="427" spans="1:5" x14ac:dyDescent="0.25">
      <c r="A427" s="378">
        <v>231</v>
      </c>
      <c r="B427" s="382" t="s">
        <v>268</v>
      </c>
      <c r="C427" s="384">
        <v>2549</v>
      </c>
      <c r="D427" s="384">
        <v>6302</v>
      </c>
      <c r="E427" s="388"/>
    </row>
    <row r="428" spans="1:5" x14ac:dyDescent="0.25">
      <c r="A428" s="378">
        <v>115</v>
      </c>
      <c r="B428" s="382" t="s">
        <v>23</v>
      </c>
      <c r="C428" s="384">
        <v>2832</v>
      </c>
      <c r="D428" s="384">
        <v>6555</v>
      </c>
      <c r="E428" s="388"/>
    </row>
    <row r="429" spans="1:5" x14ac:dyDescent="0.25">
      <c r="A429" s="378">
        <v>81</v>
      </c>
      <c r="B429" s="382" t="s">
        <v>35</v>
      </c>
      <c r="C429" s="384">
        <v>430</v>
      </c>
      <c r="D429" s="384">
        <v>1051</v>
      </c>
      <c r="E429" s="388"/>
    </row>
    <row r="430" spans="1:5" x14ac:dyDescent="0.25">
      <c r="A430" s="378">
        <v>83</v>
      </c>
      <c r="B430" s="382" t="s">
        <v>26</v>
      </c>
      <c r="C430" s="384">
        <v>2876</v>
      </c>
      <c r="D430" s="384">
        <v>5790</v>
      </c>
      <c r="E430" s="388"/>
    </row>
    <row r="431" spans="1:5" x14ac:dyDescent="0.25">
      <c r="A431" s="378">
        <v>85</v>
      </c>
      <c r="B431" s="382" t="s">
        <v>36</v>
      </c>
      <c r="C431" s="384">
        <v>615</v>
      </c>
      <c r="D431" s="384">
        <v>1520</v>
      </c>
      <c r="E431" s="388"/>
    </row>
    <row r="432" spans="1:5" x14ac:dyDescent="0.25">
      <c r="A432" s="378">
        <v>87</v>
      </c>
      <c r="B432" s="382" t="s">
        <v>28</v>
      </c>
      <c r="C432" s="384">
        <v>1143</v>
      </c>
      <c r="D432" s="384">
        <v>2604</v>
      </c>
      <c r="E432" s="388"/>
    </row>
    <row r="433" spans="1:5" x14ac:dyDescent="0.25">
      <c r="A433" s="378">
        <v>29</v>
      </c>
      <c r="B433" s="382" t="s">
        <v>190</v>
      </c>
      <c r="C433" s="384">
        <v>3497</v>
      </c>
      <c r="D433" s="384">
        <v>0</v>
      </c>
      <c r="E433" s="388"/>
    </row>
    <row r="434" spans="1:5" x14ac:dyDescent="0.25">
      <c r="A434" s="378">
        <v>33</v>
      </c>
      <c r="B434" s="382" t="s">
        <v>49</v>
      </c>
      <c r="C434" s="384">
        <v>8501</v>
      </c>
      <c r="D434" s="384">
        <v>0</v>
      </c>
      <c r="E434" s="388"/>
    </row>
    <row r="435" spans="1:5" x14ac:dyDescent="0.25">
      <c r="A435" s="378">
        <v>35</v>
      </c>
      <c r="B435" s="382" t="s">
        <v>50</v>
      </c>
      <c r="C435" s="384">
        <v>13435</v>
      </c>
      <c r="D435" s="384">
        <v>1416</v>
      </c>
      <c r="E435" s="388"/>
    </row>
    <row r="436" spans="1:5" x14ac:dyDescent="0.25">
      <c r="A436" s="378">
        <v>140</v>
      </c>
      <c r="B436" s="382" t="s">
        <v>244</v>
      </c>
      <c r="C436" s="384">
        <v>6892</v>
      </c>
      <c r="D436" s="384">
        <v>18250</v>
      </c>
      <c r="E436" s="388"/>
    </row>
    <row r="437" spans="1:5" x14ac:dyDescent="0.25">
      <c r="A437" s="378">
        <v>49</v>
      </c>
      <c r="B437" s="382" t="s">
        <v>18</v>
      </c>
      <c r="C437" s="384">
        <v>3152</v>
      </c>
      <c r="D437" s="384">
        <v>0</v>
      </c>
      <c r="E437" s="388"/>
    </row>
    <row r="438" spans="1:5" x14ac:dyDescent="0.25">
      <c r="A438" s="378">
        <v>133</v>
      </c>
      <c r="B438" s="292" t="s">
        <v>228</v>
      </c>
      <c r="C438" s="384">
        <v>0</v>
      </c>
      <c r="D438" s="384">
        <v>19403</v>
      </c>
      <c r="E438" s="388"/>
    </row>
    <row r="439" spans="1:5" x14ac:dyDescent="0.25">
      <c r="A439" s="378">
        <v>135</v>
      </c>
      <c r="B439" s="382" t="s">
        <v>245</v>
      </c>
      <c r="C439" s="384">
        <v>0</v>
      </c>
      <c r="D439" s="384">
        <v>51657</v>
      </c>
      <c r="E439" s="388"/>
    </row>
    <row r="440" spans="1:5" x14ac:dyDescent="0.25">
      <c r="A440" s="378">
        <v>1</v>
      </c>
      <c r="B440" s="382" t="s">
        <v>52</v>
      </c>
      <c r="C440" s="384">
        <v>0</v>
      </c>
      <c r="D440" s="384">
        <v>0</v>
      </c>
      <c r="E440" s="388"/>
    </row>
    <row r="441" spans="1:5" x14ac:dyDescent="0.25">
      <c r="A441" s="378">
        <v>4</v>
      </c>
      <c r="B441" s="382" t="s">
        <v>53</v>
      </c>
      <c r="C441" s="384">
        <v>6684</v>
      </c>
      <c r="D441" s="384">
        <v>0</v>
      </c>
      <c r="E441" s="388"/>
    </row>
    <row r="442" spans="1:5" x14ac:dyDescent="0.25">
      <c r="A442" s="378">
        <v>10</v>
      </c>
      <c r="B442" s="382" t="s">
        <v>246</v>
      </c>
      <c r="C442" s="384">
        <v>11158</v>
      </c>
      <c r="D442" s="384">
        <v>0</v>
      </c>
      <c r="E442" s="388"/>
    </row>
    <row r="443" spans="1:5" x14ac:dyDescent="0.25">
      <c r="A443" s="378">
        <v>13</v>
      </c>
      <c r="B443" s="382" t="s">
        <v>63</v>
      </c>
      <c r="C443" s="384">
        <v>2085</v>
      </c>
      <c r="D443" s="384">
        <v>1313</v>
      </c>
      <c r="E443" s="388"/>
    </row>
    <row r="444" spans="1:5" x14ac:dyDescent="0.25">
      <c r="A444" s="378">
        <v>354</v>
      </c>
      <c r="B444" s="382" t="s">
        <v>59</v>
      </c>
      <c r="C444" s="384">
        <v>8571</v>
      </c>
      <c r="D444" s="384">
        <v>15456</v>
      </c>
      <c r="E444" s="388"/>
    </row>
    <row r="445" spans="1:5" x14ac:dyDescent="0.25">
      <c r="A445" s="378">
        <v>173</v>
      </c>
      <c r="B445" s="382" t="s">
        <v>42</v>
      </c>
      <c r="C445" s="384">
        <v>205</v>
      </c>
      <c r="D445" s="384">
        <v>0</v>
      </c>
      <c r="E445" s="388"/>
    </row>
    <row r="446" spans="1:5" x14ac:dyDescent="0.25">
      <c r="A446" s="378">
        <v>151</v>
      </c>
      <c r="B446" s="382" t="s">
        <v>66</v>
      </c>
      <c r="C446" s="384">
        <v>114</v>
      </c>
      <c r="D446" s="384">
        <v>0</v>
      </c>
      <c r="E446" s="388"/>
    </row>
    <row r="447" spans="1:5" x14ac:dyDescent="0.25">
      <c r="A447" s="378">
        <v>294</v>
      </c>
      <c r="B447" s="382" t="s">
        <v>58</v>
      </c>
      <c r="C447" s="384">
        <v>91</v>
      </c>
      <c r="D447" s="384">
        <v>0</v>
      </c>
      <c r="E447" s="388"/>
    </row>
    <row r="448" spans="1:5" x14ac:dyDescent="0.25">
      <c r="A448" s="378">
        <v>205</v>
      </c>
      <c r="B448" s="382" t="s">
        <v>250</v>
      </c>
      <c r="C448" s="384">
        <v>2698</v>
      </c>
      <c r="D448" s="384">
        <v>200</v>
      </c>
      <c r="E448" s="388"/>
    </row>
    <row r="449" spans="1:5" x14ac:dyDescent="0.25">
      <c r="A449" s="378"/>
      <c r="B449" s="385" t="s">
        <v>93</v>
      </c>
      <c r="C449" s="389">
        <f>SUM(C413:C448)</f>
        <v>94352</v>
      </c>
      <c r="D449" s="389">
        <f>SUM(D413:D448)</f>
        <v>174843</v>
      </c>
      <c r="E449" s="390"/>
    </row>
  </sheetData>
  <mergeCells count="77">
    <mergeCell ref="B138:F138"/>
    <mergeCell ref="B86:F86"/>
    <mergeCell ref="A7:E7"/>
    <mergeCell ref="A9:A10"/>
    <mergeCell ref="B9:B10"/>
    <mergeCell ref="C9:C10"/>
    <mergeCell ref="D9:D10"/>
    <mergeCell ref="E9:E10"/>
    <mergeCell ref="A87:A88"/>
    <mergeCell ref="B87:B88"/>
    <mergeCell ref="C87:C88"/>
    <mergeCell ref="D87:G87"/>
    <mergeCell ref="A139:A140"/>
    <mergeCell ref="B139:B140"/>
    <mergeCell ref="C139:C140"/>
    <mergeCell ref="D139:D140"/>
    <mergeCell ref="E139:E140"/>
    <mergeCell ref="B188:E188"/>
    <mergeCell ref="B196:E196"/>
    <mergeCell ref="B206:E206"/>
    <mergeCell ref="B222:E222"/>
    <mergeCell ref="B174:E174"/>
    <mergeCell ref="A179:E179"/>
    <mergeCell ref="B184:E184"/>
    <mergeCell ref="A258:A269"/>
    <mergeCell ref="B258:B269"/>
    <mergeCell ref="A270:A272"/>
    <mergeCell ref="B270:B272"/>
    <mergeCell ref="B226:E226"/>
    <mergeCell ref="C228:C252"/>
    <mergeCell ref="B256:E256"/>
    <mergeCell ref="C281:C283"/>
    <mergeCell ref="A273:A276"/>
    <mergeCell ref="B273:B276"/>
    <mergeCell ref="B280:E280"/>
    <mergeCell ref="A278:A279"/>
    <mergeCell ref="B278:B279"/>
    <mergeCell ref="A290:A291"/>
    <mergeCell ref="B290:B291"/>
    <mergeCell ref="A292:A294"/>
    <mergeCell ref="B292:B294"/>
    <mergeCell ref="B285:E285"/>
    <mergeCell ref="A286:A288"/>
    <mergeCell ref="B286:B288"/>
    <mergeCell ref="A295:A296"/>
    <mergeCell ref="B295:B296"/>
    <mergeCell ref="A297:A301"/>
    <mergeCell ref="B297:B301"/>
    <mergeCell ref="D299:D301"/>
    <mergeCell ref="B315:E315"/>
    <mergeCell ref="A302:A305"/>
    <mergeCell ref="B302:B305"/>
    <mergeCell ref="B308:E308"/>
    <mergeCell ref="B306:B307"/>
    <mergeCell ref="A306:A307"/>
    <mergeCell ref="G367:G368"/>
    <mergeCell ref="B324:F324"/>
    <mergeCell ref="A325:A326"/>
    <mergeCell ref="B325:B326"/>
    <mergeCell ref="C325:C326"/>
    <mergeCell ref="D325:F325"/>
    <mergeCell ref="B207:B208"/>
    <mergeCell ref="A207:A208"/>
    <mergeCell ref="C208:E208"/>
    <mergeCell ref="B410:D410"/>
    <mergeCell ref="A411:A412"/>
    <mergeCell ref="B411:B412"/>
    <mergeCell ref="C411:C412"/>
    <mergeCell ref="D411:D412"/>
    <mergeCell ref="B366:F366"/>
    <mergeCell ref="A367:A368"/>
    <mergeCell ref="B367:B368"/>
    <mergeCell ref="C367:C368"/>
    <mergeCell ref="E367:E368"/>
    <mergeCell ref="F367:F368"/>
    <mergeCell ref="B309:D309"/>
    <mergeCell ref="C310:C31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zoomScale="80" zoomScaleNormal="80" workbookViewId="0">
      <pane xSplit="3" ySplit="9" topLeftCell="D64" activePane="bottomRight" state="frozen"/>
      <selection activeCell="K10" sqref="K10"/>
      <selection pane="topRight" activeCell="K10" sqref="K10"/>
      <selection pane="bottomLeft" activeCell="K10" sqref="K10"/>
      <selection pane="bottomRight" activeCell="R74" sqref="R74"/>
    </sheetView>
  </sheetViews>
  <sheetFormatPr defaultRowHeight="15" x14ac:dyDescent="0.25"/>
  <cols>
    <col min="1" max="1" width="6.5703125" style="5" customWidth="1"/>
    <col min="2" max="2" width="7.7109375" style="5" customWidth="1"/>
    <col min="3" max="3" width="47.28515625" customWidth="1"/>
    <col min="4" max="4" width="16.140625" style="17" customWidth="1"/>
    <col min="5" max="5" width="13.140625" style="17" customWidth="1"/>
    <col min="6" max="6" width="15" style="17" customWidth="1"/>
    <col min="7" max="7" width="14.5703125" style="17" customWidth="1"/>
    <col min="8" max="8" width="11.7109375" style="17" customWidth="1"/>
    <col min="9" max="9" width="13.42578125" style="17" customWidth="1"/>
    <col min="10" max="10" width="14" style="17" customWidth="1"/>
    <col min="11" max="11" width="13.85546875" style="17" customWidth="1"/>
    <col min="12" max="12" width="15.140625" style="17" customWidth="1"/>
    <col min="13" max="13" width="12.5703125" style="17" customWidth="1"/>
    <col min="14" max="14" width="13.5703125" style="17" customWidth="1"/>
    <col min="15" max="15" width="11.85546875" style="17" customWidth="1"/>
    <col min="16" max="16" width="11.140625" style="17" customWidth="1"/>
    <col min="17" max="17" width="12.140625" style="17" customWidth="1"/>
    <col min="18" max="18" width="11.7109375" style="17" customWidth="1"/>
    <col min="19" max="19" width="11.5703125" style="17" customWidth="1"/>
    <col min="20" max="20" width="11.85546875" customWidth="1"/>
    <col min="21" max="21" width="11.140625" customWidth="1"/>
  </cols>
  <sheetData>
    <row r="1" spans="1:21" ht="15" customHeight="1" x14ac:dyDescent="0.25">
      <c r="R1" s="18"/>
      <c r="S1" s="2"/>
      <c r="U1" s="2" t="s">
        <v>371</v>
      </c>
    </row>
    <row r="2" spans="1:21" ht="17.25" customHeight="1" x14ac:dyDescent="0.25">
      <c r="R2" s="18"/>
      <c r="S2" s="3"/>
      <c r="U2" s="3" t="s">
        <v>489</v>
      </c>
    </row>
    <row r="3" spans="1:21" ht="21.75" customHeight="1" x14ac:dyDescent="0.25">
      <c r="R3" s="18"/>
      <c r="S3" s="3"/>
      <c r="U3" s="3" t="s">
        <v>0</v>
      </c>
    </row>
    <row r="4" spans="1:21" ht="15.75" customHeight="1" x14ac:dyDescent="0.25">
      <c r="R4" s="18"/>
      <c r="S4" s="3"/>
      <c r="U4" s="3" t="s">
        <v>1</v>
      </c>
    </row>
    <row r="5" spans="1:21" ht="18" customHeight="1" x14ac:dyDescent="0.25">
      <c r="S5" s="4"/>
      <c r="U5" s="51" t="s">
        <v>492</v>
      </c>
    </row>
    <row r="6" spans="1:21" ht="101.25" customHeight="1" x14ac:dyDescent="0.25">
      <c r="A6" s="578" t="s">
        <v>486</v>
      </c>
      <c r="B6" s="578"/>
      <c r="C6" s="578"/>
      <c r="D6" s="578"/>
      <c r="E6" s="578"/>
      <c r="F6" s="578"/>
      <c r="G6" s="578"/>
      <c r="H6" s="578"/>
      <c r="I6" s="578"/>
      <c r="J6" s="578"/>
      <c r="K6" s="578"/>
      <c r="L6" s="578"/>
      <c r="M6" s="578"/>
      <c r="N6" s="578"/>
      <c r="O6" s="578"/>
      <c r="P6" s="578"/>
      <c r="Q6" s="578"/>
      <c r="R6" s="578"/>
      <c r="S6" s="578"/>
      <c r="T6" s="578"/>
      <c r="U6" s="578"/>
    </row>
    <row r="8" spans="1:21" ht="90.75" customHeight="1" x14ac:dyDescent="0.25">
      <c r="A8" s="579" t="s">
        <v>2</v>
      </c>
      <c r="B8" s="581" t="s">
        <v>71</v>
      </c>
      <c r="C8" s="579" t="s">
        <v>3</v>
      </c>
      <c r="D8" s="586" t="s">
        <v>72</v>
      </c>
      <c r="E8" s="587"/>
      <c r="F8" s="588"/>
      <c r="G8" s="583" t="s">
        <v>73</v>
      </c>
      <c r="H8" s="584"/>
      <c r="I8" s="585"/>
      <c r="J8" s="573" t="s">
        <v>74</v>
      </c>
      <c r="K8" s="574"/>
      <c r="L8" s="575" t="s">
        <v>75</v>
      </c>
      <c r="M8" s="576"/>
      <c r="N8" s="573" t="s">
        <v>76</v>
      </c>
      <c r="O8" s="577"/>
      <c r="P8" s="573" t="s">
        <v>77</v>
      </c>
      <c r="Q8" s="577"/>
      <c r="R8" s="573" t="s">
        <v>459</v>
      </c>
      <c r="S8" s="577"/>
      <c r="T8" s="573" t="s">
        <v>460</v>
      </c>
      <c r="U8" s="577"/>
    </row>
    <row r="9" spans="1:21" ht="69" customHeight="1" x14ac:dyDescent="0.25">
      <c r="A9" s="580"/>
      <c r="B9" s="582"/>
      <c r="C9" s="580"/>
      <c r="D9" s="89" t="s">
        <v>94</v>
      </c>
      <c r="E9" s="89" t="s">
        <v>79</v>
      </c>
      <c r="F9" s="89" t="s">
        <v>80</v>
      </c>
      <c r="G9" s="89" t="s">
        <v>238</v>
      </c>
      <c r="H9" s="89" t="s">
        <v>79</v>
      </c>
      <c r="I9" s="89" t="s">
        <v>80</v>
      </c>
      <c r="J9" s="89" t="s">
        <v>238</v>
      </c>
      <c r="K9" s="89" t="s">
        <v>79</v>
      </c>
      <c r="L9" s="89" t="s">
        <v>238</v>
      </c>
      <c r="M9" s="89" t="s">
        <v>79</v>
      </c>
      <c r="N9" s="89" t="s">
        <v>78</v>
      </c>
      <c r="O9" s="89" t="s">
        <v>79</v>
      </c>
      <c r="P9" s="89" t="s">
        <v>78</v>
      </c>
      <c r="Q9" s="89" t="s">
        <v>79</v>
      </c>
      <c r="R9" s="89" t="s">
        <v>78</v>
      </c>
      <c r="S9" s="89" t="s">
        <v>79</v>
      </c>
      <c r="T9" s="89" t="s">
        <v>78</v>
      </c>
      <c r="U9" s="89" t="s">
        <v>79</v>
      </c>
    </row>
    <row r="10" spans="1:21" ht="18" customHeight="1" x14ac:dyDescent="0.25">
      <c r="A10" s="6">
        <v>59</v>
      </c>
      <c r="B10" s="7">
        <v>1</v>
      </c>
      <c r="C10" s="8" t="s">
        <v>29</v>
      </c>
      <c r="D10" s="9">
        <v>1943</v>
      </c>
      <c r="E10" s="10">
        <v>5657.3</v>
      </c>
      <c r="F10" s="9">
        <v>1229</v>
      </c>
      <c r="G10" s="9">
        <v>0</v>
      </c>
      <c r="H10" s="10">
        <v>0</v>
      </c>
      <c r="I10" s="9">
        <v>403</v>
      </c>
      <c r="J10" s="9">
        <v>9826</v>
      </c>
      <c r="K10" s="10">
        <v>8528.7999999999993</v>
      </c>
      <c r="L10" s="9">
        <v>2279</v>
      </c>
      <c r="M10" s="10">
        <v>3296.7</v>
      </c>
      <c r="N10" s="9">
        <v>0</v>
      </c>
      <c r="O10" s="10">
        <v>0</v>
      </c>
      <c r="P10" s="9">
        <v>0</v>
      </c>
      <c r="Q10" s="10">
        <v>0</v>
      </c>
      <c r="R10" s="9">
        <v>0</v>
      </c>
      <c r="S10" s="10">
        <v>0</v>
      </c>
      <c r="T10" s="9">
        <v>0</v>
      </c>
      <c r="U10" s="10">
        <v>0</v>
      </c>
    </row>
    <row r="11" spans="1:21" ht="15.75" x14ac:dyDescent="0.25">
      <c r="A11" s="11">
        <v>63</v>
      </c>
      <c r="B11" s="7">
        <v>2</v>
      </c>
      <c r="C11" s="8" t="s">
        <v>30</v>
      </c>
      <c r="D11" s="9">
        <v>0</v>
      </c>
      <c r="E11" s="10">
        <v>0</v>
      </c>
      <c r="F11" s="9">
        <v>333</v>
      </c>
      <c r="G11" s="9">
        <v>0</v>
      </c>
      <c r="H11" s="10">
        <v>0</v>
      </c>
      <c r="I11" s="9">
        <v>152</v>
      </c>
      <c r="J11" s="9">
        <v>528</v>
      </c>
      <c r="K11" s="10">
        <v>469.4</v>
      </c>
      <c r="L11" s="9">
        <v>385</v>
      </c>
      <c r="M11" s="10">
        <v>866.9</v>
      </c>
      <c r="N11" s="9">
        <v>0</v>
      </c>
      <c r="O11" s="10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10">
        <v>0</v>
      </c>
    </row>
    <row r="12" spans="1:21" ht="15.75" x14ac:dyDescent="0.25">
      <c r="A12" s="11">
        <v>65</v>
      </c>
      <c r="B12" s="7">
        <v>3</v>
      </c>
      <c r="C12" s="12" t="s">
        <v>31</v>
      </c>
      <c r="D12" s="9">
        <v>0</v>
      </c>
      <c r="E12" s="10">
        <v>0</v>
      </c>
      <c r="F12" s="9">
        <v>335</v>
      </c>
      <c r="G12" s="9">
        <v>0</v>
      </c>
      <c r="H12" s="10">
        <v>0</v>
      </c>
      <c r="I12" s="9">
        <v>159</v>
      </c>
      <c r="J12" s="9">
        <v>721</v>
      </c>
      <c r="K12" s="10">
        <v>933.2</v>
      </c>
      <c r="L12" s="9">
        <v>339</v>
      </c>
      <c r="M12" s="10">
        <v>661</v>
      </c>
      <c r="N12" s="9">
        <v>0</v>
      </c>
      <c r="O12" s="10">
        <v>0</v>
      </c>
      <c r="P12" s="9">
        <v>0</v>
      </c>
      <c r="Q12" s="10">
        <v>0</v>
      </c>
      <c r="R12" s="9">
        <v>0</v>
      </c>
      <c r="S12" s="10">
        <v>0</v>
      </c>
      <c r="T12" s="9">
        <v>0</v>
      </c>
      <c r="U12" s="10">
        <v>0</v>
      </c>
    </row>
    <row r="13" spans="1:21" ht="15.75" x14ac:dyDescent="0.25">
      <c r="A13" s="11">
        <v>67</v>
      </c>
      <c r="B13" s="7">
        <v>4</v>
      </c>
      <c r="C13" s="8" t="s">
        <v>61</v>
      </c>
      <c r="D13" s="9">
        <v>0</v>
      </c>
      <c r="E13" s="10">
        <v>0</v>
      </c>
      <c r="F13" s="9">
        <v>212</v>
      </c>
      <c r="G13" s="9">
        <v>0</v>
      </c>
      <c r="H13" s="10">
        <v>0</v>
      </c>
      <c r="I13" s="9">
        <v>145</v>
      </c>
      <c r="J13" s="9">
        <v>2264</v>
      </c>
      <c r="K13" s="10">
        <v>1978.1</v>
      </c>
      <c r="L13" s="9">
        <v>618</v>
      </c>
      <c r="M13" s="10">
        <v>830.9</v>
      </c>
      <c r="N13" s="9">
        <v>0</v>
      </c>
      <c r="O13" s="10">
        <v>0</v>
      </c>
      <c r="P13" s="9">
        <v>0</v>
      </c>
      <c r="Q13" s="10">
        <v>0</v>
      </c>
      <c r="R13" s="9">
        <v>0</v>
      </c>
      <c r="S13" s="10">
        <v>0</v>
      </c>
      <c r="T13" s="9">
        <v>0</v>
      </c>
      <c r="U13" s="10">
        <v>0</v>
      </c>
    </row>
    <row r="14" spans="1:21" ht="15.75" x14ac:dyDescent="0.25">
      <c r="A14" s="11">
        <v>69</v>
      </c>
      <c r="B14" s="7">
        <v>5</v>
      </c>
      <c r="C14" s="8" t="s">
        <v>32</v>
      </c>
      <c r="D14" s="9">
        <v>0</v>
      </c>
      <c r="E14" s="10">
        <v>0</v>
      </c>
      <c r="F14" s="9">
        <v>384</v>
      </c>
      <c r="G14" s="9">
        <v>0</v>
      </c>
      <c r="H14" s="10">
        <v>0</v>
      </c>
      <c r="I14" s="9">
        <v>220</v>
      </c>
      <c r="J14" s="9">
        <v>278</v>
      </c>
      <c r="K14" s="10">
        <v>351.9</v>
      </c>
      <c r="L14" s="9">
        <v>715</v>
      </c>
      <c r="M14" s="10">
        <v>1543.6</v>
      </c>
      <c r="N14" s="9">
        <v>0</v>
      </c>
      <c r="O14" s="10">
        <v>0</v>
      </c>
      <c r="P14" s="9">
        <v>0</v>
      </c>
      <c r="Q14" s="10">
        <v>0</v>
      </c>
      <c r="R14" s="9">
        <v>0</v>
      </c>
      <c r="S14" s="10">
        <v>0</v>
      </c>
      <c r="T14" s="9">
        <v>0</v>
      </c>
      <c r="U14" s="10">
        <v>0</v>
      </c>
    </row>
    <row r="15" spans="1:21" ht="15.75" x14ac:dyDescent="0.25">
      <c r="A15" s="11">
        <v>75</v>
      </c>
      <c r="B15" s="7">
        <v>6</v>
      </c>
      <c r="C15" s="8" t="s">
        <v>62</v>
      </c>
      <c r="D15" s="9">
        <v>0</v>
      </c>
      <c r="E15" s="10">
        <v>0</v>
      </c>
      <c r="F15" s="9">
        <v>169</v>
      </c>
      <c r="G15" s="9">
        <v>0</v>
      </c>
      <c r="H15" s="10">
        <v>0</v>
      </c>
      <c r="I15" s="9">
        <v>142</v>
      </c>
      <c r="J15" s="9">
        <v>1295</v>
      </c>
      <c r="K15" s="10">
        <v>1251.8</v>
      </c>
      <c r="L15" s="9">
        <v>560</v>
      </c>
      <c r="M15" s="10">
        <v>1017.2</v>
      </c>
      <c r="N15" s="9">
        <v>0</v>
      </c>
      <c r="O15" s="10">
        <v>0</v>
      </c>
      <c r="P15" s="9">
        <v>0</v>
      </c>
      <c r="Q15" s="10">
        <v>0</v>
      </c>
      <c r="R15" s="9">
        <v>0</v>
      </c>
      <c r="S15" s="10">
        <v>0</v>
      </c>
      <c r="T15" s="9">
        <v>0</v>
      </c>
      <c r="U15" s="10">
        <v>0</v>
      </c>
    </row>
    <row r="16" spans="1:21" ht="15" customHeight="1" x14ac:dyDescent="0.25">
      <c r="A16" s="11">
        <v>71</v>
      </c>
      <c r="B16" s="7">
        <v>7</v>
      </c>
      <c r="C16" s="8" t="s">
        <v>14</v>
      </c>
      <c r="D16" s="9">
        <v>0</v>
      </c>
      <c r="E16" s="10">
        <v>0</v>
      </c>
      <c r="F16" s="9">
        <v>412</v>
      </c>
      <c r="G16" s="9">
        <v>0</v>
      </c>
      <c r="H16" s="10">
        <v>0</v>
      </c>
      <c r="I16" s="9">
        <v>210</v>
      </c>
      <c r="J16" s="9">
        <v>1644</v>
      </c>
      <c r="K16" s="10">
        <v>1387.1</v>
      </c>
      <c r="L16" s="9">
        <v>750</v>
      </c>
      <c r="M16" s="10">
        <v>1112.8</v>
      </c>
      <c r="N16" s="9">
        <v>0</v>
      </c>
      <c r="O16" s="10">
        <v>0</v>
      </c>
      <c r="P16" s="9">
        <v>0</v>
      </c>
      <c r="Q16" s="10">
        <v>0</v>
      </c>
      <c r="R16" s="9">
        <v>0</v>
      </c>
      <c r="S16" s="10">
        <v>0</v>
      </c>
      <c r="T16" s="9">
        <v>0</v>
      </c>
      <c r="U16" s="10">
        <v>0</v>
      </c>
    </row>
    <row r="17" spans="1:21" ht="15.75" x14ac:dyDescent="0.25">
      <c r="A17" s="11">
        <v>103</v>
      </c>
      <c r="B17" s="7">
        <v>8</v>
      </c>
      <c r="C17" s="12" t="s">
        <v>15</v>
      </c>
      <c r="D17" s="9">
        <v>2115</v>
      </c>
      <c r="E17" s="10">
        <v>4419.8999999999996</v>
      </c>
      <c r="F17" s="9">
        <v>1227</v>
      </c>
      <c r="G17" s="9">
        <v>0</v>
      </c>
      <c r="H17" s="10">
        <v>0</v>
      </c>
      <c r="I17" s="9">
        <v>444</v>
      </c>
      <c r="J17" s="9">
        <v>3000</v>
      </c>
      <c r="K17" s="10">
        <v>3542.2</v>
      </c>
      <c r="L17" s="9">
        <v>2518</v>
      </c>
      <c r="M17" s="10">
        <v>5075.5</v>
      </c>
      <c r="N17" s="9">
        <v>0</v>
      </c>
      <c r="O17" s="10">
        <v>0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10">
        <v>0</v>
      </c>
    </row>
    <row r="18" spans="1:21" ht="15.75" x14ac:dyDescent="0.25">
      <c r="A18" s="11">
        <v>73</v>
      </c>
      <c r="B18" s="7">
        <v>9</v>
      </c>
      <c r="C18" s="8" t="s">
        <v>17</v>
      </c>
      <c r="D18" s="9">
        <v>34</v>
      </c>
      <c r="E18" s="10">
        <v>31.3</v>
      </c>
      <c r="F18" s="9">
        <v>330</v>
      </c>
      <c r="G18" s="9">
        <v>0</v>
      </c>
      <c r="H18" s="10">
        <v>0</v>
      </c>
      <c r="I18" s="9">
        <v>139</v>
      </c>
      <c r="J18" s="9">
        <v>2614</v>
      </c>
      <c r="K18" s="10">
        <v>2639.7</v>
      </c>
      <c r="L18" s="9">
        <v>364</v>
      </c>
      <c r="M18" s="10">
        <v>635.79999999999995</v>
      </c>
      <c r="N18" s="9">
        <v>0</v>
      </c>
      <c r="O18" s="10">
        <v>0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10">
        <v>0</v>
      </c>
    </row>
    <row r="19" spans="1:21" ht="15.75" x14ac:dyDescent="0.25">
      <c r="A19" s="11">
        <v>231</v>
      </c>
      <c r="B19" s="7">
        <v>10</v>
      </c>
      <c r="C19" s="8" t="s">
        <v>54</v>
      </c>
      <c r="D19" s="9">
        <v>0</v>
      </c>
      <c r="E19" s="10">
        <v>0</v>
      </c>
      <c r="F19" s="9">
        <v>892</v>
      </c>
      <c r="G19" s="9">
        <v>0</v>
      </c>
      <c r="H19" s="10">
        <v>0</v>
      </c>
      <c r="I19" s="9">
        <v>394</v>
      </c>
      <c r="J19" s="9">
        <v>2036</v>
      </c>
      <c r="K19" s="10">
        <v>1764.2</v>
      </c>
      <c r="L19" s="9">
        <v>660</v>
      </c>
      <c r="M19" s="10">
        <v>896.5</v>
      </c>
      <c r="N19" s="9">
        <v>0</v>
      </c>
      <c r="O19" s="10">
        <v>0</v>
      </c>
      <c r="P19" s="9">
        <v>0</v>
      </c>
      <c r="Q19" s="10">
        <v>0</v>
      </c>
      <c r="R19" s="9">
        <v>0</v>
      </c>
      <c r="S19" s="10">
        <v>0</v>
      </c>
      <c r="T19" s="9">
        <v>0</v>
      </c>
      <c r="U19" s="10">
        <v>0</v>
      </c>
    </row>
    <row r="20" spans="1:21" ht="15.75" x14ac:dyDescent="0.25">
      <c r="A20" s="11">
        <v>115</v>
      </c>
      <c r="B20" s="7">
        <v>11</v>
      </c>
      <c r="C20" s="8" t="s">
        <v>23</v>
      </c>
      <c r="D20" s="9">
        <v>1915</v>
      </c>
      <c r="E20" s="10">
        <v>7116.2</v>
      </c>
      <c r="F20" s="9">
        <v>1188</v>
      </c>
      <c r="G20" s="9">
        <v>0</v>
      </c>
      <c r="H20" s="10">
        <v>0</v>
      </c>
      <c r="I20" s="9">
        <v>426</v>
      </c>
      <c r="J20" s="9">
        <v>1385</v>
      </c>
      <c r="K20" s="10">
        <v>1418.1</v>
      </c>
      <c r="L20" s="9">
        <v>2900</v>
      </c>
      <c r="M20" s="10">
        <v>5867.3</v>
      </c>
      <c r="N20" s="9">
        <v>0</v>
      </c>
      <c r="O20" s="10">
        <v>0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10">
        <v>0</v>
      </c>
    </row>
    <row r="21" spans="1:21" ht="15.75" x14ac:dyDescent="0.25">
      <c r="A21" s="11">
        <v>87</v>
      </c>
      <c r="B21" s="7">
        <v>12</v>
      </c>
      <c r="C21" s="8" t="s">
        <v>28</v>
      </c>
      <c r="D21" s="9">
        <v>0</v>
      </c>
      <c r="E21" s="10">
        <v>0</v>
      </c>
      <c r="F21" s="9">
        <v>453</v>
      </c>
      <c r="G21" s="9">
        <v>0</v>
      </c>
      <c r="H21" s="10">
        <v>0</v>
      </c>
      <c r="I21" s="9">
        <v>216</v>
      </c>
      <c r="J21" s="9">
        <v>1651</v>
      </c>
      <c r="K21" s="10">
        <v>1754.8</v>
      </c>
      <c r="L21" s="9">
        <v>1630</v>
      </c>
      <c r="M21" s="10">
        <v>2205.6999999999998</v>
      </c>
      <c r="N21" s="9">
        <v>0</v>
      </c>
      <c r="O21" s="10">
        <v>0</v>
      </c>
      <c r="P21" s="9">
        <v>0</v>
      </c>
      <c r="Q21" s="10">
        <v>0</v>
      </c>
      <c r="R21" s="9">
        <v>0</v>
      </c>
      <c r="S21" s="10">
        <v>0</v>
      </c>
      <c r="T21" s="9">
        <v>0</v>
      </c>
      <c r="U21" s="10">
        <v>0</v>
      </c>
    </row>
    <row r="22" spans="1:21" ht="15.75" x14ac:dyDescent="0.25">
      <c r="A22" s="11">
        <v>85</v>
      </c>
      <c r="B22" s="7">
        <v>13</v>
      </c>
      <c r="C22" s="8" t="s">
        <v>36</v>
      </c>
      <c r="D22" s="9">
        <v>0</v>
      </c>
      <c r="E22" s="10">
        <v>0</v>
      </c>
      <c r="F22" s="9">
        <v>263</v>
      </c>
      <c r="G22" s="9">
        <v>0</v>
      </c>
      <c r="H22" s="10">
        <v>0</v>
      </c>
      <c r="I22" s="9">
        <v>111</v>
      </c>
      <c r="J22" s="9">
        <v>1457</v>
      </c>
      <c r="K22" s="10">
        <v>2190.6999999999998</v>
      </c>
      <c r="L22" s="9">
        <v>337</v>
      </c>
      <c r="M22" s="10">
        <v>642.1</v>
      </c>
      <c r="N22" s="9">
        <v>0</v>
      </c>
      <c r="O22" s="10">
        <v>0</v>
      </c>
      <c r="P22" s="9">
        <v>0</v>
      </c>
      <c r="Q22" s="10">
        <v>0</v>
      </c>
      <c r="R22" s="9">
        <v>0</v>
      </c>
      <c r="S22" s="10">
        <v>0</v>
      </c>
      <c r="T22" s="9">
        <v>0</v>
      </c>
      <c r="U22" s="10">
        <v>0</v>
      </c>
    </row>
    <row r="23" spans="1:21" ht="15.75" x14ac:dyDescent="0.25">
      <c r="A23" s="11">
        <v>203</v>
      </c>
      <c r="B23" s="7">
        <v>14</v>
      </c>
      <c r="C23" s="8" t="s">
        <v>33</v>
      </c>
      <c r="D23" s="9">
        <v>0</v>
      </c>
      <c r="E23" s="10">
        <v>0</v>
      </c>
      <c r="F23" s="9">
        <v>292</v>
      </c>
      <c r="G23" s="9">
        <v>0</v>
      </c>
      <c r="H23" s="10">
        <v>0</v>
      </c>
      <c r="I23" s="9">
        <v>148</v>
      </c>
      <c r="J23" s="9">
        <v>928</v>
      </c>
      <c r="K23" s="10">
        <v>1044.2</v>
      </c>
      <c r="L23" s="9">
        <v>1024</v>
      </c>
      <c r="M23" s="10">
        <v>1949.1</v>
      </c>
      <c r="N23" s="9">
        <v>0</v>
      </c>
      <c r="O23" s="10">
        <v>0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10">
        <v>0</v>
      </c>
    </row>
    <row r="24" spans="1:21" ht="15.75" x14ac:dyDescent="0.25">
      <c r="A24" s="11">
        <v>79</v>
      </c>
      <c r="B24" s="7">
        <v>15</v>
      </c>
      <c r="C24" s="8" t="s">
        <v>34</v>
      </c>
      <c r="D24" s="9">
        <v>0</v>
      </c>
      <c r="E24" s="10">
        <v>0</v>
      </c>
      <c r="F24" s="9">
        <v>444</v>
      </c>
      <c r="G24" s="9">
        <v>0</v>
      </c>
      <c r="H24" s="10">
        <v>0</v>
      </c>
      <c r="I24" s="9">
        <v>194</v>
      </c>
      <c r="J24" s="9">
        <v>836</v>
      </c>
      <c r="K24" s="10">
        <v>718.5</v>
      </c>
      <c r="L24" s="9">
        <v>788</v>
      </c>
      <c r="M24" s="10">
        <v>1052.9000000000001</v>
      </c>
      <c r="N24" s="9">
        <v>0</v>
      </c>
      <c r="O24" s="10">
        <v>0</v>
      </c>
      <c r="P24" s="9">
        <v>0</v>
      </c>
      <c r="Q24" s="10">
        <v>0</v>
      </c>
      <c r="R24" s="9">
        <v>0</v>
      </c>
      <c r="S24" s="10">
        <v>0</v>
      </c>
      <c r="T24" s="9">
        <v>0</v>
      </c>
      <c r="U24" s="10">
        <v>0</v>
      </c>
    </row>
    <row r="25" spans="1:21" ht="15.75" x14ac:dyDescent="0.25">
      <c r="A25" s="11">
        <v>81</v>
      </c>
      <c r="B25" s="7">
        <v>16</v>
      </c>
      <c r="C25" s="8" t="s">
        <v>35</v>
      </c>
      <c r="D25" s="9">
        <v>0</v>
      </c>
      <c r="E25" s="10">
        <v>0</v>
      </c>
      <c r="F25" s="9">
        <v>164</v>
      </c>
      <c r="G25" s="9">
        <v>0</v>
      </c>
      <c r="H25" s="10">
        <v>0</v>
      </c>
      <c r="I25" s="9">
        <v>70</v>
      </c>
      <c r="J25" s="9">
        <v>0</v>
      </c>
      <c r="K25" s="10">
        <v>0</v>
      </c>
      <c r="L25" s="9">
        <v>125</v>
      </c>
      <c r="M25" s="10">
        <v>231.4</v>
      </c>
      <c r="N25" s="9">
        <v>0</v>
      </c>
      <c r="O25" s="10">
        <v>0</v>
      </c>
      <c r="P25" s="9">
        <v>0</v>
      </c>
      <c r="Q25" s="10">
        <v>0</v>
      </c>
      <c r="R25" s="9">
        <v>0</v>
      </c>
      <c r="S25" s="10">
        <v>0</v>
      </c>
      <c r="T25" s="9">
        <v>0</v>
      </c>
      <c r="U25" s="10">
        <v>0</v>
      </c>
    </row>
    <row r="26" spans="1:21" ht="15.75" x14ac:dyDescent="0.25">
      <c r="A26" s="11">
        <v>275</v>
      </c>
      <c r="B26" s="7">
        <v>17</v>
      </c>
      <c r="C26" s="8" t="s">
        <v>51</v>
      </c>
      <c r="D26" s="9">
        <v>0</v>
      </c>
      <c r="E26" s="10">
        <v>0</v>
      </c>
      <c r="F26" s="9">
        <v>78</v>
      </c>
      <c r="G26" s="9">
        <v>0</v>
      </c>
      <c r="H26" s="10">
        <v>0</v>
      </c>
      <c r="I26" s="9">
        <v>54</v>
      </c>
      <c r="J26" s="9">
        <v>436</v>
      </c>
      <c r="K26" s="10">
        <v>363.7</v>
      </c>
      <c r="L26" s="9">
        <v>0</v>
      </c>
      <c r="M26" s="10">
        <v>0</v>
      </c>
      <c r="N26" s="9">
        <v>0</v>
      </c>
      <c r="O26" s="10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10">
        <v>0</v>
      </c>
    </row>
    <row r="27" spans="1:21" ht="15.75" x14ac:dyDescent="0.25">
      <c r="A27" s="11">
        <v>83</v>
      </c>
      <c r="B27" s="7">
        <v>18</v>
      </c>
      <c r="C27" s="8" t="s">
        <v>26</v>
      </c>
      <c r="D27" s="9">
        <v>0</v>
      </c>
      <c r="E27" s="10">
        <v>0</v>
      </c>
      <c r="F27" s="9">
        <v>830</v>
      </c>
      <c r="G27" s="9">
        <v>0</v>
      </c>
      <c r="H27" s="10">
        <v>0</v>
      </c>
      <c r="I27" s="9">
        <v>394</v>
      </c>
      <c r="J27" s="9">
        <v>1430</v>
      </c>
      <c r="K27" s="10">
        <v>1179.0999999999999</v>
      </c>
      <c r="L27" s="9">
        <v>1250</v>
      </c>
      <c r="M27" s="10">
        <v>1698.3</v>
      </c>
      <c r="N27" s="9">
        <v>0</v>
      </c>
      <c r="O27" s="10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10">
        <v>0</v>
      </c>
    </row>
    <row r="28" spans="1:21" ht="15.75" x14ac:dyDescent="0.25">
      <c r="A28" s="11">
        <v>29</v>
      </c>
      <c r="B28" s="7">
        <v>19</v>
      </c>
      <c r="C28" s="8" t="s">
        <v>81</v>
      </c>
      <c r="D28" s="9">
        <v>0</v>
      </c>
      <c r="E28" s="10">
        <v>0</v>
      </c>
      <c r="F28" s="9">
        <v>1261</v>
      </c>
      <c r="G28" s="9">
        <v>0</v>
      </c>
      <c r="H28" s="10">
        <v>0</v>
      </c>
      <c r="I28" s="9">
        <v>581</v>
      </c>
      <c r="J28" s="9">
        <v>1248</v>
      </c>
      <c r="K28" s="10">
        <v>876.1</v>
      </c>
      <c r="L28" s="9">
        <v>0</v>
      </c>
      <c r="M28" s="10">
        <v>0</v>
      </c>
      <c r="N28" s="9">
        <v>0</v>
      </c>
      <c r="O28" s="10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10">
        <v>0</v>
      </c>
    </row>
    <row r="29" spans="1:21" ht="15.75" x14ac:dyDescent="0.25">
      <c r="A29" s="11">
        <v>33</v>
      </c>
      <c r="B29" s="7">
        <v>20</v>
      </c>
      <c r="C29" s="16" t="s">
        <v>49</v>
      </c>
      <c r="D29" s="9">
        <v>4695</v>
      </c>
      <c r="E29" s="10">
        <v>9515.2999999999993</v>
      </c>
      <c r="F29" s="9">
        <v>1520</v>
      </c>
      <c r="G29" s="9">
        <v>0</v>
      </c>
      <c r="H29" s="10">
        <v>0</v>
      </c>
      <c r="I29" s="9">
        <v>1237</v>
      </c>
      <c r="J29" s="9">
        <v>6854</v>
      </c>
      <c r="K29" s="10">
        <v>5857.6</v>
      </c>
      <c r="L29" s="9">
        <v>10445</v>
      </c>
      <c r="M29" s="10">
        <v>16211.1</v>
      </c>
      <c r="N29" s="9">
        <v>0</v>
      </c>
      <c r="O29" s="10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10">
        <v>0</v>
      </c>
    </row>
    <row r="30" spans="1:21" ht="15.75" x14ac:dyDescent="0.25">
      <c r="A30" s="11">
        <v>139</v>
      </c>
      <c r="B30" s="7">
        <v>21</v>
      </c>
      <c r="C30" s="8" t="s">
        <v>82</v>
      </c>
      <c r="D30" s="9">
        <v>455</v>
      </c>
      <c r="E30" s="10">
        <v>1511.6</v>
      </c>
      <c r="F30" s="9">
        <v>0</v>
      </c>
      <c r="G30" s="9">
        <v>0</v>
      </c>
      <c r="H30" s="10">
        <v>0</v>
      </c>
      <c r="I30" s="9">
        <v>0</v>
      </c>
      <c r="J30" s="9">
        <v>0</v>
      </c>
      <c r="K30" s="10">
        <v>0</v>
      </c>
      <c r="L30" s="9">
        <v>0</v>
      </c>
      <c r="M30" s="10">
        <v>0</v>
      </c>
      <c r="N30" s="9">
        <v>0</v>
      </c>
      <c r="O30" s="10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10">
        <v>0</v>
      </c>
    </row>
    <row r="31" spans="1:21" s="1" customFormat="1" ht="15.75" x14ac:dyDescent="0.25">
      <c r="A31" s="15">
        <v>28</v>
      </c>
      <c r="B31" s="7">
        <v>22</v>
      </c>
      <c r="C31" s="8" t="s">
        <v>11</v>
      </c>
      <c r="D31" s="9">
        <v>659</v>
      </c>
      <c r="E31" s="10">
        <v>2154.4</v>
      </c>
      <c r="F31" s="9">
        <v>0</v>
      </c>
      <c r="G31" s="9">
        <v>0</v>
      </c>
      <c r="H31" s="10">
        <v>0</v>
      </c>
      <c r="I31" s="9">
        <v>0</v>
      </c>
      <c r="J31" s="9">
        <v>0</v>
      </c>
      <c r="K31" s="10">
        <v>0</v>
      </c>
      <c r="L31" s="9">
        <v>0</v>
      </c>
      <c r="M31" s="10">
        <v>0</v>
      </c>
      <c r="N31" s="9">
        <v>0</v>
      </c>
      <c r="O31" s="10">
        <v>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10">
        <v>0</v>
      </c>
    </row>
    <row r="32" spans="1:21" s="1" customFormat="1" ht="15.75" x14ac:dyDescent="0.25">
      <c r="A32" s="15">
        <v>133</v>
      </c>
      <c r="B32" s="7">
        <v>23</v>
      </c>
      <c r="C32" s="8" t="s">
        <v>83</v>
      </c>
      <c r="D32" s="9">
        <v>0</v>
      </c>
      <c r="E32" s="10">
        <v>0</v>
      </c>
      <c r="F32" s="9">
        <v>60</v>
      </c>
      <c r="G32" s="9">
        <v>2758</v>
      </c>
      <c r="H32" s="10">
        <v>8814.4</v>
      </c>
      <c r="I32" s="9">
        <v>354</v>
      </c>
      <c r="J32" s="9">
        <v>1440</v>
      </c>
      <c r="K32" s="10">
        <v>1226.5999999999999</v>
      </c>
      <c r="L32" s="9">
        <v>650</v>
      </c>
      <c r="M32" s="10">
        <v>1093.9000000000001</v>
      </c>
      <c r="N32" s="9">
        <v>0</v>
      </c>
      <c r="O32" s="10">
        <v>0</v>
      </c>
      <c r="P32" s="9">
        <v>0</v>
      </c>
      <c r="Q32" s="10">
        <v>0</v>
      </c>
      <c r="R32" s="9">
        <v>0</v>
      </c>
      <c r="S32" s="10">
        <v>0</v>
      </c>
      <c r="T32" s="9">
        <v>0</v>
      </c>
      <c r="U32" s="10">
        <v>0</v>
      </c>
    </row>
    <row r="33" spans="1:21" s="1" customFormat="1" ht="15.75" x14ac:dyDescent="0.25">
      <c r="A33" s="15">
        <v>135</v>
      </c>
      <c r="B33" s="7">
        <v>24</v>
      </c>
      <c r="C33" s="8" t="s">
        <v>84</v>
      </c>
      <c r="D33" s="9">
        <v>0</v>
      </c>
      <c r="E33" s="10">
        <v>0</v>
      </c>
      <c r="F33" s="9">
        <v>168</v>
      </c>
      <c r="G33" s="9">
        <v>0</v>
      </c>
      <c r="H33" s="10">
        <v>0</v>
      </c>
      <c r="I33" s="9">
        <v>882</v>
      </c>
      <c r="J33" s="9">
        <v>4616</v>
      </c>
      <c r="K33" s="10">
        <v>3919.8</v>
      </c>
      <c r="L33" s="9">
        <v>0</v>
      </c>
      <c r="M33" s="10">
        <v>0</v>
      </c>
      <c r="N33" s="9">
        <v>0</v>
      </c>
      <c r="O33" s="10">
        <v>0</v>
      </c>
      <c r="P33" s="9">
        <v>0</v>
      </c>
      <c r="Q33" s="10">
        <v>0</v>
      </c>
      <c r="R33" s="9">
        <v>0</v>
      </c>
      <c r="S33" s="10">
        <v>0</v>
      </c>
      <c r="T33" s="9">
        <v>0</v>
      </c>
      <c r="U33" s="10">
        <v>0</v>
      </c>
    </row>
    <row r="34" spans="1:21" s="1" customFormat="1" ht="15.75" x14ac:dyDescent="0.25">
      <c r="A34" s="15">
        <v>146</v>
      </c>
      <c r="B34" s="7">
        <v>25</v>
      </c>
      <c r="C34" s="8" t="s">
        <v>20</v>
      </c>
      <c r="D34" s="9">
        <v>0</v>
      </c>
      <c r="E34" s="10">
        <v>0</v>
      </c>
      <c r="F34" s="9">
        <v>8</v>
      </c>
      <c r="G34" s="9">
        <v>0</v>
      </c>
      <c r="H34" s="10">
        <v>0</v>
      </c>
      <c r="I34" s="9">
        <v>104</v>
      </c>
      <c r="J34" s="9">
        <v>2406</v>
      </c>
      <c r="K34" s="10">
        <v>2006.5</v>
      </c>
      <c r="L34" s="9">
        <v>650</v>
      </c>
      <c r="M34" s="10">
        <v>1059.8</v>
      </c>
      <c r="N34" s="9">
        <v>0</v>
      </c>
      <c r="O34" s="10">
        <v>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10">
        <v>0</v>
      </c>
    </row>
    <row r="35" spans="1:21" s="1" customFormat="1" ht="15.75" x14ac:dyDescent="0.25">
      <c r="A35" s="15">
        <v>144</v>
      </c>
      <c r="B35" s="7">
        <v>26</v>
      </c>
      <c r="C35" s="8" t="s">
        <v>24</v>
      </c>
      <c r="D35" s="9">
        <v>2653</v>
      </c>
      <c r="E35" s="10">
        <v>8957.2000000000007</v>
      </c>
      <c r="F35" s="9">
        <v>2</v>
      </c>
      <c r="G35" s="9">
        <v>819</v>
      </c>
      <c r="H35" s="10">
        <v>1897.1</v>
      </c>
      <c r="I35" s="9">
        <v>1728</v>
      </c>
      <c r="J35" s="9">
        <v>4660</v>
      </c>
      <c r="K35" s="10">
        <v>4953.8999999999996</v>
      </c>
      <c r="L35" s="9">
        <v>2488</v>
      </c>
      <c r="M35" s="10">
        <v>4291.3999999999996</v>
      </c>
      <c r="N35" s="9">
        <v>0</v>
      </c>
      <c r="O35" s="10">
        <v>0</v>
      </c>
      <c r="P35" s="9">
        <v>0</v>
      </c>
      <c r="Q35" s="10">
        <v>0</v>
      </c>
      <c r="R35" s="9">
        <v>0</v>
      </c>
      <c r="S35" s="10">
        <v>0</v>
      </c>
      <c r="T35" s="9">
        <v>0</v>
      </c>
      <c r="U35" s="10">
        <v>0</v>
      </c>
    </row>
    <row r="36" spans="1:21" s="597" customFormat="1" ht="15.75" x14ac:dyDescent="0.25">
      <c r="A36" s="592">
        <v>188</v>
      </c>
      <c r="B36" s="593">
        <v>27</v>
      </c>
      <c r="C36" s="594" t="s">
        <v>27</v>
      </c>
      <c r="D36" s="595">
        <v>21948</v>
      </c>
      <c r="E36" s="596">
        <v>84836.599999999991</v>
      </c>
      <c r="F36" s="595">
        <v>12122</v>
      </c>
      <c r="G36" s="595">
        <v>13776</v>
      </c>
      <c r="H36" s="596">
        <v>80380.400000000009</v>
      </c>
      <c r="I36" s="595">
        <v>13623</v>
      </c>
      <c r="J36" s="595">
        <v>5283</v>
      </c>
      <c r="K36" s="596">
        <v>4736.8999999999996</v>
      </c>
      <c r="L36" s="595">
        <v>8832</v>
      </c>
      <c r="M36" s="596">
        <v>16951.400000000001</v>
      </c>
      <c r="N36" s="595">
        <v>19877</v>
      </c>
      <c r="O36" s="596">
        <v>41188.400000000001</v>
      </c>
      <c r="P36" s="595">
        <v>1241</v>
      </c>
      <c r="Q36" s="596">
        <v>15431.4</v>
      </c>
      <c r="R36" s="595">
        <v>8889</v>
      </c>
      <c r="S36" s="596">
        <v>28537.7</v>
      </c>
      <c r="T36" s="595">
        <v>0</v>
      </c>
      <c r="U36" s="596">
        <v>0</v>
      </c>
    </row>
    <row r="37" spans="1:21" s="1" customFormat="1" ht="15.75" x14ac:dyDescent="0.25">
      <c r="A37" s="15">
        <v>367</v>
      </c>
      <c r="B37" s="7">
        <v>28</v>
      </c>
      <c r="C37" s="8" t="s">
        <v>64</v>
      </c>
      <c r="D37" s="9">
        <v>191</v>
      </c>
      <c r="E37" s="10">
        <v>444.3</v>
      </c>
      <c r="F37" s="9">
        <v>0</v>
      </c>
      <c r="G37" s="9">
        <v>0</v>
      </c>
      <c r="H37" s="10">
        <v>0</v>
      </c>
      <c r="I37" s="9">
        <v>0</v>
      </c>
      <c r="J37" s="9">
        <v>0</v>
      </c>
      <c r="K37" s="10">
        <v>0</v>
      </c>
      <c r="L37" s="9">
        <v>0</v>
      </c>
      <c r="M37" s="10">
        <v>0</v>
      </c>
      <c r="N37" s="9">
        <v>0</v>
      </c>
      <c r="O37" s="10">
        <v>0</v>
      </c>
      <c r="P37" s="9">
        <v>0</v>
      </c>
      <c r="Q37" s="10">
        <v>0</v>
      </c>
      <c r="R37" s="9">
        <v>0</v>
      </c>
      <c r="S37" s="10">
        <v>0</v>
      </c>
      <c r="T37" s="9">
        <v>0</v>
      </c>
      <c r="U37" s="10">
        <v>0</v>
      </c>
    </row>
    <row r="38" spans="1:21" s="1" customFormat="1" ht="30" x14ac:dyDescent="0.25">
      <c r="A38" s="15">
        <v>327</v>
      </c>
      <c r="B38" s="7">
        <v>29</v>
      </c>
      <c r="C38" s="8" t="s">
        <v>85</v>
      </c>
      <c r="D38" s="9">
        <v>0</v>
      </c>
      <c r="E38" s="10">
        <v>0</v>
      </c>
      <c r="F38" s="9">
        <v>0</v>
      </c>
      <c r="G38" s="9">
        <v>0</v>
      </c>
      <c r="H38" s="10">
        <v>0</v>
      </c>
      <c r="I38" s="9">
        <v>0</v>
      </c>
      <c r="J38" s="9">
        <v>6709</v>
      </c>
      <c r="K38" s="10">
        <v>5266.5</v>
      </c>
      <c r="L38" s="9">
        <v>0</v>
      </c>
      <c r="M38" s="10">
        <v>0</v>
      </c>
      <c r="N38" s="9">
        <v>0</v>
      </c>
      <c r="O38" s="10">
        <v>0</v>
      </c>
      <c r="P38" s="9">
        <v>335</v>
      </c>
      <c r="Q38" s="10">
        <v>2607.9</v>
      </c>
      <c r="R38" s="9">
        <v>0</v>
      </c>
      <c r="S38" s="10">
        <v>0</v>
      </c>
      <c r="T38" s="9">
        <v>0</v>
      </c>
      <c r="U38" s="10">
        <v>0</v>
      </c>
    </row>
    <row r="39" spans="1:21" s="1" customFormat="1" ht="15.75" x14ac:dyDescent="0.25">
      <c r="A39" s="15">
        <v>466</v>
      </c>
      <c r="B39" s="7">
        <v>30</v>
      </c>
      <c r="C39" s="8" t="s">
        <v>86</v>
      </c>
      <c r="D39" s="9">
        <v>618</v>
      </c>
      <c r="E39" s="10">
        <v>1390.8</v>
      </c>
      <c r="F39" s="9">
        <v>22</v>
      </c>
      <c r="G39" s="9">
        <v>150</v>
      </c>
      <c r="H39" s="10">
        <v>979.3</v>
      </c>
      <c r="I39" s="9">
        <v>0</v>
      </c>
      <c r="J39" s="9">
        <v>6876</v>
      </c>
      <c r="K39" s="10">
        <v>5507.4</v>
      </c>
      <c r="L39" s="9">
        <v>0</v>
      </c>
      <c r="M39" s="10">
        <v>0</v>
      </c>
      <c r="N39" s="9">
        <v>0</v>
      </c>
      <c r="O39" s="10">
        <v>0</v>
      </c>
      <c r="P39" s="9">
        <v>0</v>
      </c>
      <c r="Q39" s="10">
        <v>0</v>
      </c>
      <c r="R39" s="9">
        <v>1366</v>
      </c>
      <c r="S39" s="10">
        <v>5888</v>
      </c>
      <c r="T39" s="9">
        <v>0</v>
      </c>
      <c r="U39" s="10">
        <v>0</v>
      </c>
    </row>
    <row r="40" spans="1:21" s="1" customFormat="1" ht="15.75" x14ac:dyDescent="0.25">
      <c r="A40" s="15">
        <v>465</v>
      </c>
      <c r="B40" s="7">
        <v>31</v>
      </c>
      <c r="C40" s="8" t="s">
        <v>87</v>
      </c>
      <c r="D40" s="9">
        <v>0</v>
      </c>
      <c r="E40" s="10">
        <v>0</v>
      </c>
      <c r="F40" s="9">
        <v>0</v>
      </c>
      <c r="G40" s="9">
        <v>0</v>
      </c>
      <c r="H40" s="10">
        <v>0</v>
      </c>
      <c r="I40" s="9">
        <v>0</v>
      </c>
      <c r="J40" s="9">
        <v>0</v>
      </c>
      <c r="K40" s="10">
        <v>0</v>
      </c>
      <c r="L40" s="9">
        <v>0</v>
      </c>
      <c r="M40" s="10">
        <v>0</v>
      </c>
      <c r="N40" s="9">
        <v>619</v>
      </c>
      <c r="O40" s="10">
        <v>6565.8</v>
      </c>
      <c r="P40" s="9">
        <v>654</v>
      </c>
      <c r="Q40" s="10">
        <v>14961.7</v>
      </c>
      <c r="R40" s="9">
        <v>0</v>
      </c>
      <c r="S40" s="10">
        <v>0</v>
      </c>
      <c r="T40" s="9">
        <v>0</v>
      </c>
      <c r="U40" s="10">
        <v>0</v>
      </c>
    </row>
    <row r="41" spans="1:21" s="1" customFormat="1" ht="15.75" x14ac:dyDescent="0.25">
      <c r="A41" s="15">
        <v>173</v>
      </c>
      <c r="B41" s="7">
        <v>32</v>
      </c>
      <c r="C41" s="8" t="s">
        <v>42</v>
      </c>
      <c r="D41" s="9">
        <v>398</v>
      </c>
      <c r="E41" s="10">
        <v>996.5</v>
      </c>
      <c r="F41" s="9">
        <v>30</v>
      </c>
      <c r="G41" s="9">
        <v>13</v>
      </c>
      <c r="H41" s="10">
        <v>41</v>
      </c>
      <c r="I41" s="9">
        <v>100</v>
      </c>
      <c r="J41" s="9">
        <v>0</v>
      </c>
      <c r="K41" s="10">
        <v>0</v>
      </c>
      <c r="L41" s="9">
        <v>32</v>
      </c>
      <c r="M41" s="10">
        <v>18.899999999999999</v>
      </c>
      <c r="N41" s="9">
        <v>0</v>
      </c>
      <c r="O41" s="10">
        <v>0</v>
      </c>
      <c r="P41" s="9">
        <v>0</v>
      </c>
      <c r="Q41" s="10">
        <v>0</v>
      </c>
      <c r="R41" s="9">
        <v>0</v>
      </c>
      <c r="S41" s="10">
        <v>0</v>
      </c>
      <c r="T41" s="9">
        <v>0</v>
      </c>
      <c r="U41" s="10">
        <v>0</v>
      </c>
    </row>
    <row r="42" spans="1:21" s="1" customFormat="1" ht="15.75" x14ac:dyDescent="0.25">
      <c r="A42" s="15">
        <v>354</v>
      </c>
      <c r="B42" s="7">
        <v>33</v>
      </c>
      <c r="C42" s="8" t="s">
        <v>59</v>
      </c>
      <c r="D42" s="9">
        <v>4602</v>
      </c>
      <c r="E42" s="10">
        <v>12032.6</v>
      </c>
      <c r="F42" s="9">
        <v>2083</v>
      </c>
      <c r="G42" s="9">
        <v>0</v>
      </c>
      <c r="H42" s="10">
        <v>0</v>
      </c>
      <c r="I42" s="9">
        <v>2203</v>
      </c>
      <c r="J42" s="9">
        <v>7746</v>
      </c>
      <c r="K42" s="10">
        <v>6302</v>
      </c>
      <c r="L42" s="9">
        <v>5900</v>
      </c>
      <c r="M42" s="10">
        <v>10787.5</v>
      </c>
      <c r="N42" s="9">
        <v>3238</v>
      </c>
      <c r="O42" s="10">
        <v>3432.9</v>
      </c>
      <c r="P42" s="9">
        <v>0</v>
      </c>
      <c r="Q42" s="10">
        <v>0</v>
      </c>
      <c r="R42" s="9">
        <v>0</v>
      </c>
      <c r="S42" s="10">
        <v>0</v>
      </c>
      <c r="T42" s="9">
        <v>0</v>
      </c>
      <c r="U42" s="10">
        <v>0</v>
      </c>
    </row>
    <row r="43" spans="1:21" s="1" customFormat="1" ht="15.75" x14ac:dyDescent="0.25">
      <c r="A43" s="15">
        <v>151</v>
      </c>
      <c r="B43" s="7">
        <v>34</v>
      </c>
      <c r="C43" s="8" t="s">
        <v>66</v>
      </c>
      <c r="D43" s="9">
        <v>0</v>
      </c>
      <c r="E43" s="10">
        <v>0</v>
      </c>
      <c r="F43" s="9">
        <v>130</v>
      </c>
      <c r="G43" s="9">
        <v>0</v>
      </c>
      <c r="H43" s="10">
        <v>0</v>
      </c>
      <c r="I43" s="9">
        <v>78</v>
      </c>
      <c r="J43" s="9">
        <v>271</v>
      </c>
      <c r="K43" s="10">
        <v>189.1</v>
      </c>
      <c r="L43" s="9">
        <v>140</v>
      </c>
      <c r="M43" s="10">
        <v>228.2</v>
      </c>
      <c r="N43" s="9">
        <v>0</v>
      </c>
      <c r="O43" s="10">
        <v>0</v>
      </c>
      <c r="P43" s="9">
        <v>0</v>
      </c>
      <c r="Q43" s="10">
        <v>0</v>
      </c>
      <c r="R43" s="9">
        <v>0</v>
      </c>
      <c r="S43" s="10">
        <v>0</v>
      </c>
      <c r="T43" s="9">
        <v>0</v>
      </c>
      <c r="U43" s="10">
        <v>0</v>
      </c>
    </row>
    <row r="44" spans="1:21" s="1" customFormat="1" ht="20.25" customHeight="1" x14ac:dyDescent="0.25">
      <c r="A44" s="15">
        <v>4</v>
      </c>
      <c r="B44" s="7">
        <v>35</v>
      </c>
      <c r="C44" s="8" t="s">
        <v>53</v>
      </c>
      <c r="D44" s="9">
        <v>0</v>
      </c>
      <c r="E44" s="10">
        <v>0</v>
      </c>
      <c r="F44" s="9">
        <v>1907</v>
      </c>
      <c r="G44" s="9">
        <v>0</v>
      </c>
      <c r="H44" s="10">
        <v>0</v>
      </c>
      <c r="I44" s="9">
        <v>894</v>
      </c>
      <c r="J44" s="9">
        <v>2647</v>
      </c>
      <c r="K44" s="10">
        <v>2336.4</v>
      </c>
      <c r="L44" s="9">
        <v>0</v>
      </c>
      <c r="M44" s="10">
        <v>0</v>
      </c>
      <c r="N44" s="9">
        <v>0</v>
      </c>
      <c r="O44" s="10">
        <v>0</v>
      </c>
      <c r="P44" s="9">
        <v>0</v>
      </c>
      <c r="Q44" s="10">
        <v>0</v>
      </c>
      <c r="R44" s="9">
        <v>0</v>
      </c>
      <c r="S44" s="10">
        <v>0</v>
      </c>
      <c r="T44" s="9">
        <v>0</v>
      </c>
      <c r="U44" s="10">
        <v>0</v>
      </c>
    </row>
    <row r="45" spans="1:21" s="1" customFormat="1" ht="15.75" x14ac:dyDescent="0.25">
      <c r="A45" s="15">
        <v>10</v>
      </c>
      <c r="B45" s="7">
        <v>36</v>
      </c>
      <c r="C45" s="8" t="s">
        <v>88</v>
      </c>
      <c r="D45" s="9">
        <v>0</v>
      </c>
      <c r="E45" s="10">
        <v>0</v>
      </c>
      <c r="F45" s="9">
        <v>3643</v>
      </c>
      <c r="G45" s="9">
        <v>0</v>
      </c>
      <c r="H45" s="10">
        <v>0</v>
      </c>
      <c r="I45" s="9">
        <v>1481</v>
      </c>
      <c r="J45" s="9">
        <v>3763</v>
      </c>
      <c r="K45" s="10">
        <v>3462.1</v>
      </c>
      <c r="L45" s="9">
        <v>4476</v>
      </c>
      <c r="M45" s="10">
        <v>7343.3</v>
      </c>
      <c r="N45" s="9">
        <v>0</v>
      </c>
      <c r="O45" s="10">
        <v>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10">
        <v>0</v>
      </c>
    </row>
    <row r="46" spans="1:21" s="1" customFormat="1" ht="15.75" x14ac:dyDescent="0.25">
      <c r="A46" s="15">
        <v>35</v>
      </c>
      <c r="B46" s="7">
        <v>37</v>
      </c>
      <c r="C46" s="8" t="s">
        <v>50</v>
      </c>
      <c r="D46" s="9">
        <v>0</v>
      </c>
      <c r="E46" s="10">
        <v>0</v>
      </c>
      <c r="F46" s="9">
        <v>497</v>
      </c>
      <c r="G46" s="9">
        <v>0</v>
      </c>
      <c r="H46" s="10">
        <v>0</v>
      </c>
      <c r="I46" s="9">
        <v>715</v>
      </c>
      <c r="J46" s="9">
        <v>1498</v>
      </c>
      <c r="K46" s="10">
        <v>1106.4000000000001</v>
      </c>
      <c r="L46" s="9">
        <v>0</v>
      </c>
      <c r="M46" s="10">
        <v>0</v>
      </c>
      <c r="N46" s="9">
        <v>0</v>
      </c>
      <c r="O46" s="10">
        <v>0</v>
      </c>
      <c r="P46" s="9">
        <v>0</v>
      </c>
      <c r="Q46" s="10">
        <v>0</v>
      </c>
      <c r="R46" s="9">
        <v>0</v>
      </c>
      <c r="S46" s="10">
        <v>0</v>
      </c>
      <c r="T46" s="9">
        <v>0</v>
      </c>
      <c r="U46" s="10">
        <v>0</v>
      </c>
    </row>
    <row r="47" spans="1:21" s="1" customFormat="1" ht="15.75" x14ac:dyDescent="0.25">
      <c r="A47" s="15">
        <v>13</v>
      </c>
      <c r="B47" s="7">
        <v>38</v>
      </c>
      <c r="C47" s="8" t="s">
        <v>63</v>
      </c>
      <c r="D47" s="9">
        <v>0</v>
      </c>
      <c r="E47" s="10">
        <v>0</v>
      </c>
      <c r="F47" s="9">
        <v>507</v>
      </c>
      <c r="G47" s="9">
        <v>0</v>
      </c>
      <c r="H47" s="10">
        <v>0</v>
      </c>
      <c r="I47" s="9">
        <v>256</v>
      </c>
      <c r="J47" s="9">
        <v>683</v>
      </c>
      <c r="K47" s="10">
        <v>582.29999999999995</v>
      </c>
      <c r="L47" s="9">
        <v>0</v>
      </c>
      <c r="M47" s="10">
        <v>0</v>
      </c>
      <c r="N47" s="9">
        <v>0</v>
      </c>
      <c r="O47" s="10">
        <v>0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10">
        <v>0</v>
      </c>
    </row>
    <row r="48" spans="1:21" s="1" customFormat="1" ht="15.75" x14ac:dyDescent="0.25">
      <c r="A48" s="15">
        <v>140</v>
      </c>
      <c r="B48" s="7">
        <v>39</v>
      </c>
      <c r="C48" s="13" t="s">
        <v>89</v>
      </c>
      <c r="D48" s="9">
        <v>946</v>
      </c>
      <c r="E48" s="10">
        <v>1841.2</v>
      </c>
      <c r="F48" s="9">
        <v>1175</v>
      </c>
      <c r="G48" s="9">
        <v>0</v>
      </c>
      <c r="H48" s="10">
        <v>0</v>
      </c>
      <c r="I48" s="9">
        <v>954</v>
      </c>
      <c r="J48" s="9">
        <v>9526</v>
      </c>
      <c r="K48" s="10">
        <v>7848.4</v>
      </c>
      <c r="L48" s="9">
        <v>6189</v>
      </c>
      <c r="M48" s="10">
        <v>9094</v>
      </c>
      <c r="N48" s="9">
        <v>0</v>
      </c>
      <c r="O48" s="10">
        <v>0</v>
      </c>
      <c r="P48" s="9">
        <v>0</v>
      </c>
      <c r="Q48" s="10">
        <v>0</v>
      </c>
      <c r="R48" s="9">
        <v>0</v>
      </c>
      <c r="S48" s="10">
        <v>0</v>
      </c>
      <c r="T48" s="9">
        <v>0</v>
      </c>
      <c r="U48" s="10">
        <v>0</v>
      </c>
    </row>
    <row r="49" spans="1:21" s="1" customFormat="1" ht="15.75" x14ac:dyDescent="0.25">
      <c r="A49" s="15">
        <v>381</v>
      </c>
      <c r="B49" s="7">
        <v>40</v>
      </c>
      <c r="C49" s="8" t="s">
        <v>65</v>
      </c>
      <c r="D49" s="9">
        <v>0</v>
      </c>
      <c r="E49" s="10">
        <v>0</v>
      </c>
      <c r="F49" s="9">
        <v>0</v>
      </c>
      <c r="G49" s="9">
        <v>0</v>
      </c>
      <c r="H49" s="10">
        <v>0</v>
      </c>
      <c r="I49" s="9">
        <v>0</v>
      </c>
      <c r="J49" s="9">
        <v>0</v>
      </c>
      <c r="K49" s="10">
        <v>0</v>
      </c>
      <c r="L49" s="9">
        <v>0</v>
      </c>
      <c r="M49" s="10">
        <v>0</v>
      </c>
      <c r="N49" s="9">
        <v>3613</v>
      </c>
      <c r="O49" s="10">
        <v>7481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10">
        <v>0</v>
      </c>
    </row>
    <row r="50" spans="1:21" s="1" customFormat="1" ht="15.75" x14ac:dyDescent="0.25">
      <c r="A50" s="15">
        <v>399</v>
      </c>
      <c r="B50" s="7">
        <v>41</v>
      </c>
      <c r="C50" s="8" t="s">
        <v>47</v>
      </c>
      <c r="D50" s="9">
        <v>0</v>
      </c>
      <c r="E50" s="10">
        <v>0</v>
      </c>
      <c r="F50" s="9">
        <v>0</v>
      </c>
      <c r="G50" s="9">
        <v>0</v>
      </c>
      <c r="H50" s="10">
        <v>0</v>
      </c>
      <c r="I50" s="9">
        <v>0</v>
      </c>
      <c r="J50" s="9">
        <v>9239</v>
      </c>
      <c r="K50" s="10">
        <v>10640.2</v>
      </c>
      <c r="L50" s="9">
        <v>2669</v>
      </c>
      <c r="M50" s="10">
        <v>4696.3</v>
      </c>
      <c r="N50" s="9">
        <v>0</v>
      </c>
      <c r="O50" s="10">
        <v>0</v>
      </c>
      <c r="P50" s="9">
        <v>0</v>
      </c>
      <c r="Q50" s="10">
        <v>0</v>
      </c>
      <c r="R50" s="9">
        <v>0</v>
      </c>
      <c r="S50" s="10">
        <v>0</v>
      </c>
      <c r="T50" s="9">
        <v>0</v>
      </c>
      <c r="U50" s="10">
        <v>0</v>
      </c>
    </row>
    <row r="51" spans="1:21" s="1" customFormat="1" ht="15.75" x14ac:dyDescent="0.25">
      <c r="A51" s="15">
        <v>447</v>
      </c>
      <c r="B51" s="7">
        <v>42</v>
      </c>
      <c r="C51" s="14" t="s">
        <v>38</v>
      </c>
      <c r="D51" s="9">
        <v>0</v>
      </c>
      <c r="E51" s="10">
        <v>0</v>
      </c>
      <c r="F51" s="9">
        <v>0</v>
      </c>
      <c r="G51" s="9">
        <v>0</v>
      </c>
      <c r="H51" s="10">
        <v>0</v>
      </c>
      <c r="I51" s="9">
        <v>0</v>
      </c>
      <c r="J51" s="9">
        <v>0</v>
      </c>
      <c r="K51" s="10">
        <v>0</v>
      </c>
      <c r="L51" s="9">
        <v>2479</v>
      </c>
      <c r="M51" s="10">
        <v>3329.6</v>
      </c>
      <c r="N51" s="9">
        <v>0</v>
      </c>
      <c r="O51" s="10">
        <v>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10">
        <v>0</v>
      </c>
    </row>
    <row r="52" spans="1:21" s="1" customFormat="1" ht="15.75" x14ac:dyDescent="0.25">
      <c r="A52" s="15">
        <v>320</v>
      </c>
      <c r="B52" s="7">
        <v>43</v>
      </c>
      <c r="C52" s="8" t="s">
        <v>67</v>
      </c>
      <c r="D52" s="9">
        <v>4952</v>
      </c>
      <c r="E52" s="10">
        <v>20445.3</v>
      </c>
      <c r="F52" s="9">
        <v>0</v>
      </c>
      <c r="G52" s="9">
        <v>4553</v>
      </c>
      <c r="H52" s="10">
        <v>16565.900000000001</v>
      </c>
      <c r="I52" s="9">
        <v>0</v>
      </c>
      <c r="J52" s="9">
        <v>0</v>
      </c>
      <c r="K52" s="10">
        <v>0</v>
      </c>
      <c r="L52" s="9">
        <v>0</v>
      </c>
      <c r="M52" s="10">
        <v>0</v>
      </c>
      <c r="N52" s="9">
        <v>0</v>
      </c>
      <c r="O52" s="10">
        <v>0</v>
      </c>
      <c r="P52" s="9">
        <v>0</v>
      </c>
      <c r="Q52" s="10">
        <v>0</v>
      </c>
      <c r="R52" s="9">
        <v>0</v>
      </c>
      <c r="S52" s="10">
        <v>0</v>
      </c>
      <c r="T52" s="9">
        <v>0</v>
      </c>
      <c r="U52" s="10">
        <v>0</v>
      </c>
    </row>
    <row r="53" spans="1:21" s="1" customFormat="1" ht="15.75" x14ac:dyDescent="0.25">
      <c r="A53" s="15">
        <v>425</v>
      </c>
      <c r="B53" s="7">
        <v>44</v>
      </c>
      <c r="C53" s="8" t="s">
        <v>56</v>
      </c>
      <c r="D53" s="9">
        <v>11974</v>
      </c>
      <c r="E53" s="10">
        <v>39048.300000000003</v>
      </c>
      <c r="F53" s="9">
        <v>0</v>
      </c>
      <c r="G53" s="9">
        <v>6006</v>
      </c>
      <c r="H53" s="10">
        <v>29479.5</v>
      </c>
      <c r="I53" s="9">
        <v>0</v>
      </c>
      <c r="J53" s="9">
        <v>0</v>
      </c>
      <c r="K53" s="10">
        <v>0</v>
      </c>
      <c r="L53" s="9">
        <v>0</v>
      </c>
      <c r="M53" s="10">
        <v>0</v>
      </c>
      <c r="N53" s="9">
        <v>0</v>
      </c>
      <c r="O53" s="10">
        <v>0</v>
      </c>
      <c r="P53" s="9">
        <v>0</v>
      </c>
      <c r="Q53" s="10">
        <v>0</v>
      </c>
      <c r="R53" s="9">
        <v>0</v>
      </c>
      <c r="S53" s="10">
        <v>0</v>
      </c>
      <c r="T53" s="9">
        <v>2200</v>
      </c>
      <c r="U53" s="10">
        <v>84793.5</v>
      </c>
    </row>
    <row r="54" spans="1:21" s="1" customFormat="1" ht="15.75" x14ac:dyDescent="0.25">
      <c r="A54" s="15">
        <v>387</v>
      </c>
      <c r="B54" s="7">
        <v>45</v>
      </c>
      <c r="C54" s="14" t="s">
        <v>68</v>
      </c>
      <c r="D54" s="9">
        <v>0</v>
      </c>
      <c r="E54" s="10">
        <v>0</v>
      </c>
      <c r="F54" s="9">
        <v>0</v>
      </c>
      <c r="G54" s="9">
        <v>1644</v>
      </c>
      <c r="H54" s="10">
        <v>4808.6000000000004</v>
      </c>
      <c r="I54" s="9">
        <v>0</v>
      </c>
      <c r="J54" s="9">
        <v>0</v>
      </c>
      <c r="K54" s="10">
        <v>0</v>
      </c>
      <c r="L54" s="9">
        <v>0</v>
      </c>
      <c r="M54" s="10">
        <v>0</v>
      </c>
      <c r="N54" s="9">
        <v>0</v>
      </c>
      <c r="O54" s="10">
        <v>0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10">
        <v>0</v>
      </c>
    </row>
    <row r="55" spans="1:21" s="1" customFormat="1" ht="15.75" x14ac:dyDescent="0.25">
      <c r="A55" s="15">
        <v>396</v>
      </c>
      <c r="B55" s="7">
        <v>46</v>
      </c>
      <c r="C55" s="8" t="s">
        <v>69</v>
      </c>
      <c r="D55" s="9">
        <v>0</v>
      </c>
      <c r="E55" s="10">
        <v>0</v>
      </c>
      <c r="F55" s="9">
        <v>0</v>
      </c>
      <c r="G55" s="9">
        <v>0</v>
      </c>
      <c r="H55" s="10">
        <v>0</v>
      </c>
      <c r="I55" s="9">
        <v>0</v>
      </c>
      <c r="J55" s="9">
        <v>13925</v>
      </c>
      <c r="K55" s="10">
        <v>21230.7</v>
      </c>
      <c r="L55" s="9">
        <v>0</v>
      </c>
      <c r="M55" s="10">
        <v>0</v>
      </c>
      <c r="N55" s="9">
        <v>0</v>
      </c>
      <c r="O55" s="10">
        <v>0</v>
      </c>
      <c r="P55" s="9">
        <v>0</v>
      </c>
      <c r="Q55" s="10">
        <v>0</v>
      </c>
      <c r="R55" s="9">
        <v>0</v>
      </c>
      <c r="S55" s="10">
        <v>0</v>
      </c>
      <c r="T55" s="9">
        <v>0</v>
      </c>
      <c r="U55" s="10">
        <v>0</v>
      </c>
    </row>
    <row r="56" spans="1:21" s="1" customFormat="1" ht="15.75" x14ac:dyDescent="0.25">
      <c r="A56" s="15">
        <v>459</v>
      </c>
      <c r="B56" s="7">
        <v>47</v>
      </c>
      <c r="C56" s="8" t="s">
        <v>70</v>
      </c>
      <c r="D56" s="9">
        <v>0</v>
      </c>
      <c r="E56" s="10">
        <v>0</v>
      </c>
      <c r="F56" s="9">
        <v>0</v>
      </c>
      <c r="G56" s="9">
        <v>743</v>
      </c>
      <c r="H56" s="10">
        <v>4431.3999999999996</v>
      </c>
      <c r="I56" s="9">
        <v>0</v>
      </c>
      <c r="J56" s="9">
        <v>0</v>
      </c>
      <c r="K56" s="10">
        <v>0</v>
      </c>
      <c r="L56" s="9">
        <v>0</v>
      </c>
      <c r="M56" s="10">
        <v>0</v>
      </c>
      <c r="N56" s="9">
        <v>0</v>
      </c>
      <c r="O56" s="10">
        <v>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10">
        <v>0</v>
      </c>
    </row>
    <row r="57" spans="1:21" s="1" customFormat="1" ht="15.75" x14ac:dyDescent="0.25">
      <c r="A57" s="15">
        <v>355</v>
      </c>
      <c r="B57" s="7">
        <v>48</v>
      </c>
      <c r="C57" s="8" t="s">
        <v>91</v>
      </c>
      <c r="D57" s="9">
        <v>817</v>
      </c>
      <c r="E57" s="10">
        <v>1802.7</v>
      </c>
      <c r="F57" s="9">
        <v>1</v>
      </c>
      <c r="G57" s="9">
        <v>0</v>
      </c>
      <c r="H57" s="10">
        <v>0</v>
      </c>
      <c r="I57" s="9">
        <v>0</v>
      </c>
      <c r="J57" s="9">
        <v>0</v>
      </c>
      <c r="K57" s="10">
        <v>0</v>
      </c>
      <c r="L57" s="9">
        <v>0</v>
      </c>
      <c r="M57" s="10">
        <v>0</v>
      </c>
      <c r="N57" s="9">
        <v>0</v>
      </c>
      <c r="O57" s="10">
        <v>0</v>
      </c>
      <c r="P57" s="9">
        <v>0</v>
      </c>
      <c r="Q57" s="10">
        <v>0</v>
      </c>
      <c r="R57" s="9">
        <v>0</v>
      </c>
      <c r="S57" s="10">
        <v>0</v>
      </c>
      <c r="T57" s="9">
        <v>0</v>
      </c>
      <c r="U57" s="10">
        <v>0</v>
      </c>
    </row>
    <row r="58" spans="1:21" s="1" customFormat="1" ht="15.75" x14ac:dyDescent="0.25">
      <c r="A58" s="15">
        <v>205</v>
      </c>
      <c r="B58" s="7">
        <v>49</v>
      </c>
      <c r="C58" s="8" t="s">
        <v>92</v>
      </c>
      <c r="D58" s="9">
        <v>0</v>
      </c>
      <c r="E58" s="10">
        <v>0</v>
      </c>
      <c r="F58" s="9">
        <v>799</v>
      </c>
      <c r="G58" s="9">
        <v>0</v>
      </c>
      <c r="H58" s="10">
        <v>0</v>
      </c>
      <c r="I58" s="9">
        <v>334</v>
      </c>
      <c r="J58" s="9">
        <v>1792</v>
      </c>
      <c r="K58" s="10">
        <v>1538.3</v>
      </c>
      <c r="L58" s="9">
        <v>0</v>
      </c>
      <c r="M58" s="10">
        <v>0</v>
      </c>
      <c r="N58" s="9">
        <v>0</v>
      </c>
      <c r="O58" s="10">
        <v>0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10">
        <v>0</v>
      </c>
    </row>
    <row r="59" spans="1:21" s="1" customFormat="1" ht="15.75" x14ac:dyDescent="0.25">
      <c r="A59" s="15">
        <v>61</v>
      </c>
      <c r="B59" s="7">
        <v>50</v>
      </c>
      <c r="C59" s="228" t="s">
        <v>48</v>
      </c>
      <c r="D59" s="9">
        <v>0</v>
      </c>
      <c r="E59" s="10">
        <v>0</v>
      </c>
      <c r="F59" s="9">
        <v>242</v>
      </c>
      <c r="G59" s="9">
        <v>0</v>
      </c>
      <c r="H59" s="10">
        <v>0</v>
      </c>
      <c r="I59" s="9">
        <v>86</v>
      </c>
      <c r="J59" s="9">
        <v>0</v>
      </c>
      <c r="K59" s="10">
        <v>0</v>
      </c>
      <c r="L59" s="9">
        <v>0</v>
      </c>
      <c r="M59" s="10">
        <v>0</v>
      </c>
      <c r="N59" s="9">
        <v>0</v>
      </c>
      <c r="O59" s="10">
        <v>0</v>
      </c>
      <c r="P59" s="9">
        <v>0</v>
      </c>
      <c r="Q59" s="10">
        <v>0</v>
      </c>
      <c r="R59" s="9">
        <v>0</v>
      </c>
      <c r="S59" s="10">
        <v>0</v>
      </c>
      <c r="T59" s="9">
        <v>0</v>
      </c>
      <c r="U59" s="10">
        <v>0</v>
      </c>
    </row>
    <row r="60" spans="1:21" s="1" customFormat="1" ht="15.75" x14ac:dyDescent="0.25">
      <c r="A60" s="15">
        <v>232</v>
      </c>
      <c r="B60" s="7">
        <v>51</v>
      </c>
      <c r="C60" s="228" t="s">
        <v>55</v>
      </c>
      <c r="D60" s="9">
        <v>0</v>
      </c>
      <c r="E60" s="10">
        <v>0</v>
      </c>
      <c r="F60" s="9">
        <v>578</v>
      </c>
      <c r="G60" s="9">
        <v>0</v>
      </c>
      <c r="H60" s="10">
        <v>0</v>
      </c>
      <c r="I60" s="9">
        <v>298</v>
      </c>
      <c r="J60" s="9">
        <v>0</v>
      </c>
      <c r="K60" s="10">
        <v>0</v>
      </c>
      <c r="L60" s="9">
        <v>0</v>
      </c>
      <c r="M60" s="10">
        <v>0</v>
      </c>
      <c r="N60" s="9">
        <v>0</v>
      </c>
      <c r="O60" s="10">
        <v>0</v>
      </c>
      <c r="P60" s="9">
        <v>0</v>
      </c>
      <c r="Q60" s="10">
        <v>0</v>
      </c>
      <c r="R60" s="9">
        <v>0</v>
      </c>
      <c r="S60" s="10">
        <v>0</v>
      </c>
      <c r="T60" s="9">
        <v>0</v>
      </c>
      <c r="U60" s="10">
        <v>0</v>
      </c>
    </row>
    <row r="61" spans="1:21" s="1" customFormat="1" ht="15.75" x14ac:dyDescent="0.25">
      <c r="A61" s="15">
        <v>49</v>
      </c>
      <c r="B61" s="7">
        <v>52</v>
      </c>
      <c r="C61" s="228" t="s">
        <v>18</v>
      </c>
      <c r="D61" s="9">
        <v>0</v>
      </c>
      <c r="E61" s="10">
        <v>0</v>
      </c>
      <c r="F61" s="9">
        <v>930</v>
      </c>
      <c r="G61" s="9">
        <v>0</v>
      </c>
      <c r="H61" s="10">
        <v>0</v>
      </c>
      <c r="I61" s="9">
        <v>454</v>
      </c>
      <c r="J61" s="9">
        <v>0</v>
      </c>
      <c r="K61" s="10">
        <v>0</v>
      </c>
      <c r="L61" s="9">
        <v>0</v>
      </c>
      <c r="M61" s="10">
        <v>0</v>
      </c>
      <c r="N61" s="9">
        <v>0</v>
      </c>
      <c r="O61" s="10">
        <v>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10">
        <v>0</v>
      </c>
    </row>
    <row r="62" spans="1:21" s="1" customFormat="1" ht="15.75" x14ac:dyDescent="0.25">
      <c r="A62" s="15">
        <v>142</v>
      </c>
      <c r="B62" s="7">
        <v>53</v>
      </c>
      <c r="C62" s="228" t="s">
        <v>181</v>
      </c>
      <c r="D62" s="9">
        <v>0</v>
      </c>
      <c r="E62" s="10">
        <v>0</v>
      </c>
      <c r="F62" s="9">
        <v>0</v>
      </c>
      <c r="G62" s="9">
        <v>0</v>
      </c>
      <c r="H62" s="10">
        <v>0</v>
      </c>
      <c r="I62" s="9">
        <v>8</v>
      </c>
      <c r="J62" s="9">
        <v>0</v>
      </c>
      <c r="K62" s="10">
        <v>0</v>
      </c>
      <c r="L62" s="9">
        <v>0</v>
      </c>
      <c r="M62" s="10">
        <v>0</v>
      </c>
      <c r="N62" s="9">
        <v>0</v>
      </c>
      <c r="O62" s="10">
        <v>0</v>
      </c>
      <c r="P62" s="9">
        <v>0</v>
      </c>
      <c r="Q62" s="10">
        <v>0</v>
      </c>
      <c r="R62" s="9">
        <v>0</v>
      </c>
      <c r="S62" s="10">
        <v>0</v>
      </c>
      <c r="T62" s="9">
        <v>0</v>
      </c>
      <c r="U62" s="10">
        <v>0</v>
      </c>
    </row>
    <row r="63" spans="1:21" s="1" customFormat="1" ht="15.75" x14ac:dyDescent="0.25">
      <c r="A63" s="15">
        <v>129</v>
      </c>
      <c r="B63" s="7">
        <v>54</v>
      </c>
      <c r="C63" s="228" t="s">
        <v>230</v>
      </c>
      <c r="D63" s="9">
        <v>0</v>
      </c>
      <c r="E63" s="10">
        <v>0</v>
      </c>
      <c r="F63" s="9">
        <v>0</v>
      </c>
      <c r="G63" s="9">
        <v>0</v>
      </c>
      <c r="H63" s="10">
        <v>0</v>
      </c>
      <c r="I63" s="9">
        <v>60</v>
      </c>
      <c r="J63" s="9">
        <v>0</v>
      </c>
      <c r="K63" s="10">
        <v>0</v>
      </c>
      <c r="L63" s="9">
        <v>0</v>
      </c>
      <c r="M63" s="10">
        <v>0</v>
      </c>
      <c r="N63" s="9">
        <v>0</v>
      </c>
      <c r="O63" s="10">
        <v>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10">
        <v>0</v>
      </c>
    </row>
    <row r="64" spans="1:21" s="1" customFormat="1" ht="15.75" x14ac:dyDescent="0.25">
      <c r="A64" s="15">
        <v>294</v>
      </c>
      <c r="B64" s="7">
        <v>55</v>
      </c>
      <c r="C64" s="228" t="s">
        <v>58</v>
      </c>
      <c r="D64" s="9">
        <v>0</v>
      </c>
      <c r="E64" s="10">
        <v>0</v>
      </c>
      <c r="F64" s="9">
        <v>28</v>
      </c>
      <c r="G64" s="9">
        <v>0</v>
      </c>
      <c r="H64" s="10">
        <v>0</v>
      </c>
      <c r="I64" s="9">
        <v>11</v>
      </c>
      <c r="J64" s="9">
        <v>0</v>
      </c>
      <c r="K64" s="10">
        <v>0</v>
      </c>
      <c r="L64" s="9">
        <v>0</v>
      </c>
      <c r="M64" s="10">
        <v>0</v>
      </c>
      <c r="N64" s="9">
        <v>0</v>
      </c>
      <c r="O64" s="10">
        <v>0</v>
      </c>
      <c r="P64" s="9">
        <v>0</v>
      </c>
      <c r="Q64" s="10">
        <v>0</v>
      </c>
      <c r="R64" s="9">
        <v>0</v>
      </c>
      <c r="S64" s="10">
        <v>0</v>
      </c>
      <c r="T64" s="9">
        <v>0</v>
      </c>
      <c r="U64" s="10">
        <v>0</v>
      </c>
    </row>
    <row r="65" spans="1:21" x14ac:dyDescent="0.25">
      <c r="A65" s="11"/>
      <c r="B65" s="571" t="s">
        <v>93</v>
      </c>
      <c r="C65" s="572"/>
      <c r="D65" s="19">
        <f>SUM(D10:D64)</f>
        <v>60915</v>
      </c>
      <c r="E65" s="20">
        <f t="shared" ref="E65:U65" si="0">SUM(E10:E64)</f>
        <v>202201.5</v>
      </c>
      <c r="F65" s="19">
        <f t="shared" si="0"/>
        <v>36948</v>
      </c>
      <c r="G65" s="19">
        <f t="shared" si="0"/>
        <v>30462</v>
      </c>
      <c r="H65" s="20">
        <f t="shared" si="0"/>
        <v>147397.6</v>
      </c>
      <c r="I65" s="19">
        <f t="shared" si="0"/>
        <v>30462</v>
      </c>
      <c r="J65" s="19">
        <f t="shared" si="0"/>
        <v>123511</v>
      </c>
      <c r="K65" s="20">
        <f t="shared" si="0"/>
        <v>121102.7</v>
      </c>
      <c r="L65" s="19">
        <f t="shared" si="0"/>
        <v>62192</v>
      </c>
      <c r="M65" s="20">
        <f t="shared" si="0"/>
        <v>104689.1</v>
      </c>
      <c r="N65" s="19">
        <f t="shared" si="0"/>
        <v>27347</v>
      </c>
      <c r="O65" s="20">
        <f t="shared" si="0"/>
        <v>58668.100000000006</v>
      </c>
      <c r="P65" s="19">
        <f t="shared" si="0"/>
        <v>2230</v>
      </c>
      <c r="Q65" s="19">
        <f t="shared" si="0"/>
        <v>33001</v>
      </c>
      <c r="R65" s="19">
        <f t="shared" si="0"/>
        <v>10255</v>
      </c>
      <c r="S65" s="20">
        <f t="shared" si="0"/>
        <v>34425.699999999997</v>
      </c>
      <c r="T65" s="19">
        <f t="shared" si="0"/>
        <v>2200</v>
      </c>
      <c r="U65" s="20">
        <f t="shared" si="0"/>
        <v>84793.5</v>
      </c>
    </row>
    <row r="67" spans="1:21" x14ac:dyDescent="0.25">
      <c r="F67" s="401"/>
      <c r="I67" s="87"/>
      <c r="U67" s="405"/>
    </row>
    <row r="68" spans="1:21" x14ac:dyDescent="0.25">
      <c r="E68" s="404"/>
      <c r="P68" s="404"/>
      <c r="Q68" s="401"/>
      <c r="S68" s="404"/>
      <c r="U68" s="401"/>
    </row>
    <row r="71" spans="1:21" x14ac:dyDescent="0.25">
      <c r="D71" s="401"/>
      <c r="E71" s="401"/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  <c r="S71" s="401"/>
      <c r="T71" s="401"/>
      <c r="U71" s="401"/>
    </row>
  </sheetData>
  <mergeCells count="13">
    <mergeCell ref="A6:U6"/>
    <mergeCell ref="A8:A9"/>
    <mergeCell ref="B8:B9"/>
    <mergeCell ref="C8:C9"/>
    <mergeCell ref="G8:I8"/>
    <mergeCell ref="T8:U8"/>
    <mergeCell ref="R8:S8"/>
    <mergeCell ref="D8:F8"/>
    <mergeCell ref="B65:C65"/>
    <mergeCell ref="J8:K8"/>
    <mergeCell ref="L8:M8"/>
    <mergeCell ref="N8:O8"/>
    <mergeCell ref="P8:Q8"/>
  </mergeCells>
  <printOptions horizontalCentered="1" verticalCentered="1"/>
  <pageMargins left="0.11811023622047245" right="0.11811023622047245" top="0.15748031496062992" bottom="0.15748031496062992" header="0" footer="0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5"/>
  <sheetViews>
    <sheetView topLeftCell="A13" zoomScaleNormal="100" workbookViewId="0">
      <selection activeCell="P18" sqref="P18"/>
    </sheetView>
  </sheetViews>
  <sheetFormatPr defaultRowHeight="15" x14ac:dyDescent="0.25"/>
  <cols>
    <col min="1" max="1" width="2" customWidth="1"/>
    <col min="2" max="2" width="7.7109375" customWidth="1"/>
    <col min="3" max="3" width="51.42578125" customWidth="1"/>
    <col min="4" max="4" width="16.28515625" customWidth="1"/>
    <col min="5" max="5" width="14.85546875" customWidth="1"/>
    <col min="6" max="6" width="3.85546875" customWidth="1"/>
  </cols>
  <sheetData>
    <row r="1" spans="2:5" ht="15.75" x14ac:dyDescent="0.25">
      <c r="B1" s="75"/>
      <c r="C1" s="76"/>
      <c r="E1" s="49" t="s">
        <v>490</v>
      </c>
    </row>
    <row r="2" spans="2:5" ht="15.75" x14ac:dyDescent="0.25">
      <c r="B2" s="75"/>
      <c r="C2" s="76"/>
      <c r="E2" s="50" t="s">
        <v>489</v>
      </c>
    </row>
    <row r="3" spans="2:5" ht="15.75" x14ac:dyDescent="0.25">
      <c r="B3" s="75"/>
      <c r="C3" s="77"/>
      <c r="E3" s="50" t="s">
        <v>0</v>
      </c>
    </row>
    <row r="4" spans="2:5" ht="15.75" x14ac:dyDescent="0.25">
      <c r="B4" s="75"/>
      <c r="C4" s="77"/>
      <c r="E4" s="50" t="s">
        <v>1</v>
      </c>
    </row>
    <row r="5" spans="2:5" ht="15.75" x14ac:dyDescent="0.25">
      <c r="B5" s="75"/>
      <c r="C5" s="77"/>
      <c r="E5" s="51" t="s">
        <v>492</v>
      </c>
    </row>
    <row r="6" spans="2:5" ht="15.75" x14ac:dyDescent="0.25">
      <c r="B6" s="78"/>
      <c r="C6" s="78"/>
      <c r="D6" s="78"/>
      <c r="E6" s="78"/>
    </row>
    <row r="7" spans="2:5" ht="54" customHeight="1" x14ac:dyDescent="0.25">
      <c r="B7" s="589" t="s">
        <v>458</v>
      </c>
      <c r="C7" s="589"/>
      <c r="D7" s="589"/>
      <c r="E7" s="589"/>
    </row>
    <row r="9" spans="2:5" ht="45" x14ac:dyDescent="0.25">
      <c r="B9" s="79" t="s">
        <v>231</v>
      </c>
      <c r="C9" s="79" t="s">
        <v>232</v>
      </c>
      <c r="D9" s="112" t="s">
        <v>472</v>
      </c>
      <c r="E9" s="112" t="s">
        <v>233</v>
      </c>
    </row>
    <row r="10" spans="2:5" x14ac:dyDescent="0.25">
      <c r="B10" s="11">
        <v>61</v>
      </c>
      <c r="C10" s="80" t="s">
        <v>48</v>
      </c>
      <c r="D10" s="81">
        <v>2147</v>
      </c>
      <c r="E10" s="81">
        <v>1</v>
      </c>
    </row>
    <row r="11" spans="2:5" x14ac:dyDescent="0.25">
      <c r="B11" s="11">
        <v>59</v>
      </c>
      <c r="C11" s="80" t="s">
        <v>29</v>
      </c>
      <c r="D11" s="81">
        <v>17420</v>
      </c>
      <c r="E11" s="81">
        <v>28</v>
      </c>
    </row>
    <row r="12" spans="2:5" x14ac:dyDescent="0.25">
      <c r="B12" s="11">
        <v>63</v>
      </c>
      <c r="C12" s="80" t="s">
        <v>30</v>
      </c>
      <c r="D12" s="81">
        <v>2500</v>
      </c>
      <c r="E12" s="81">
        <v>1</v>
      </c>
    </row>
    <row r="13" spans="2:5" x14ac:dyDescent="0.25">
      <c r="B13" s="11">
        <v>65</v>
      </c>
      <c r="C13" s="80" t="s">
        <v>31</v>
      </c>
      <c r="D13" s="81">
        <v>3960</v>
      </c>
      <c r="E13" s="81">
        <v>1</v>
      </c>
    </row>
    <row r="14" spans="2:5" x14ac:dyDescent="0.25">
      <c r="B14" s="11">
        <v>67</v>
      </c>
      <c r="C14" s="80" t="s">
        <v>234</v>
      </c>
      <c r="D14" s="81">
        <v>394</v>
      </c>
      <c r="E14" s="81">
        <v>0</v>
      </c>
    </row>
    <row r="15" spans="2:5" x14ac:dyDescent="0.25">
      <c r="B15" s="11">
        <v>69</v>
      </c>
      <c r="C15" s="80" t="s">
        <v>32</v>
      </c>
      <c r="D15" s="81">
        <v>5706</v>
      </c>
      <c r="E15" s="81">
        <v>1</v>
      </c>
    </row>
    <row r="16" spans="2:5" x14ac:dyDescent="0.25">
      <c r="B16" s="11">
        <v>71</v>
      </c>
      <c r="C16" s="80" t="s">
        <v>14</v>
      </c>
      <c r="D16" s="81">
        <v>4154</v>
      </c>
      <c r="E16" s="81">
        <v>10</v>
      </c>
    </row>
    <row r="17" spans="2:6" x14ac:dyDescent="0.25">
      <c r="B17" s="11">
        <v>103</v>
      </c>
      <c r="C17" s="80" t="s">
        <v>15</v>
      </c>
      <c r="D17" s="81">
        <v>10665</v>
      </c>
      <c r="E17" s="81">
        <v>52</v>
      </c>
    </row>
    <row r="18" spans="2:6" x14ac:dyDescent="0.25">
      <c r="B18" s="11">
        <v>73</v>
      </c>
      <c r="C18" s="80" t="s">
        <v>17</v>
      </c>
      <c r="D18" s="81">
        <v>3100</v>
      </c>
      <c r="E18" s="81">
        <v>8</v>
      </c>
    </row>
    <row r="19" spans="2:6" x14ac:dyDescent="0.25">
      <c r="B19" s="11">
        <v>75</v>
      </c>
      <c r="C19" s="80" t="s">
        <v>235</v>
      </c>
      <c r="D19" s="81">
        <v>3200</v>
      </c>
      <c r="E19" s="81">
        <v>3</v>
      </c>
    </row>
    <row r="20" spans="2:6" x14ac:dyDescent="0.25">
      <c r="B20" s="11">
        <v>275</v>
      </c>
      <c r="C20" s="80" t="s">
        <v>51</v>
      </c>
      <c r="D20" s="81">
        <v>2400</v>
      </c>
      <c r="E20" s="81">
        <v>1</v>
      </c>
    </row>
    <row r="21" spans="2:6" x14ac:dyDescent="0.25">
      <c r="B21" s="11">
        <v>203</v>
      </c>
      <c r="C21" s="80" t="s">
        <v>33</v>
      </c>
      <c r="D21" s="81">
        <v>5516</v>
      </c>
      <c r="E21" s="81">
        <v>4</v>
      </c>
    </row>
    <row r="22" spans="2:6" x14ac:dyDescent="0.25">
      <c r="B22" s="11">
        <v>79</v>
      </c>
      <c r="C22" s="80" t="s">
        <v>34</v>
      </c>
      <c r="D22" s="81">
        <v>740</v>
      </c>
      <c r="E22" s="81">
        <v>0</v>
      </c>
    </row>
    <row r="23" spans="2:6" x14ac:dyDescent="0.25">
      <c r="B23" s="11">
        <v>231</v>
      </c>
      <c r="C23" s="80" t="s">
        <v>54</v>
      </c>
      <c r="D23" s="81">
        <v>7800</v>
      </c>
      <c r="E23" s="81">
        <v>4</v>
      </c>
    </row>
    <row r="24" spans="2:6" x14ac:dyDescent="0.25">
      <c r="B24" s="11">
        <v>115</v>
      </c>
      <c r="C24" s="80" t="s">
        <v>23</v>
      </c>
      <c r="D24" s="81">
        <v>6736</v>
      </c>
      <c r="E24" s="81">
        <v>1</v>
      </c>
      <c r="F24" s="1"/>
    </row>
    <row r="25" spans="2:6" x14ac:dyDescent="0.25">
      <c r="B25" s="11">
        <v>81</v>
      </c>
      <c r="C25" s="80" t="s">
        <v>35</v>
      </c>
      <c r="D25" s="81">
        <v>30</v>
      </c>
      <c r="E25" s="81">
        <v>0</v>
      </c>
      <c r="F25" s="1"/>
    </row>
    <row r="26" spans="2:6" x14ac:dyDescent="0.25">
      <c r="B26" s="11">
        <v>83</v>
      </c>
      <c r="C26" s="80" t="s">
        <v>26</v>
      </c>
      <c r="D26" s="81">
        <v>13298</v>
      </c>
      <c r="E26" s="81">
        <v>10</v>
      </c>
      <c r="F26" s="1"/>
    </row>
    <row r="27" spans="2:6" x14ac:dyDescent="0.25">
      <c r="B27" s="11">
        <v>85</v>
      </c>
      <c r="C27" s="80" t="s">
        <v>36</v>
      </c>
      <c r="D27" s="81">
        <v>2120</v>
      </c>
      <c r="E27" s="81">
        <v>4</v>
      </c>
      <c r="F27" s="1"/>
    </row>
    <row r="28" spans="2:6" x14ac:dyDescent="0.25">
      <c r="B28" s="11">
        <v>87</v>
      </c>
      <c r="C28" s="80" t="s">
        <v>28</v>
      </c>
      <c r="D28" s="81">
        <v>3406</v>
      </c>
      <c r="E28" s="81">
        <v>12</v>
      </c>
      <c r="F28" s="1"/>
    </row>
    <row r="29" spans="2:6" x14ac:dyDescent="0.25">
      <c r="B29" s="11">
        <v>144</v>
      </c>
      <c r="C29" s="80" t="s">
        <v>24</v>
      </c>
      <c r="D29" s="81">
        <v>1617</v>
      </c>
      <c r="E29" s="81">
        <v>0</v>
      </c>
      <c r="F29" s="1"/>
    </row>
    <row r="30" spans="2:6" x14ac:dyDescent="0.25">
      <c r="B30" s="11">
        <v>292</v>
      </c>
      <c r="C30" s="80" t="s">
        <v>22</v>
      </c>
      <c r="D30" s="81">
        <v>1200</v>
      </c>
      <c r="E30" s="81">
        <v>0</v>
      </c>
      <c r="F30" s="1"/>
    </row>
    <row r="31" spans="2:6" x14ac:dyDescent="0.25">
      <c r="B31" s="11">
        <v>321</v>
      </c>
      <c r="C31" s="80" t="s">
        <v>236</v>
      </c>
      <c r="D31" s="81">
        <v>159819</v>
      </c>
      <c r="E31" s="81">
        <v>62</v>
      </c>
      <c r="F31" s="1"/>
    </row>
    <row r="32" spans="2:6" x14ac:dyDescent="0.25">
      <c r="B32" s="11">
        <v>354</v>
      </c>
      <c r="C32" s="80" t="s">
        <v>59</v>
      </c>
      <c r="D32" s="81">
        <v>29595</v>
      </c>
      <c r="E32" s="81">
        <v>40</v>
      </c>
    </row>
    <row r="33" spans="2:5" x14ac:dyDescent="0.25">
      <c r="B33" s="82" t="s">
        <v>43</v>
      </c>
      <c r="C33" s="82"/>
      <c r="D33" s="83">
        <f>SUM(D10:D32)</f>
        <v>287523</v>
      </c>
      <c r="E33" s="83">
        <f>SUM(E10:E32)</f>
        <v>243</v>
      </c>
    </row>
    <row r="34" spans="2:5" ht="28.5" customHeight="1" x14ac:dyDescent="0.25">
      <c r="B34" s="590" t="s">
        <v>224</v>
      </c>
      <c r="C34" s="590"/>
      <c r="D34" s="223">
        <f>D35-D33</f>
        <v>5090</v>
      </c>
      <c r="E34" s="81"/>
    </row>
    <row r="35" spans="2:5" x14ac:dyDescent="0.25">
      <c r="B35" s="591" t="s">
        <v>45</v>
      </c>
      <c r="C35" s="591"/>
      <c r="D35" s="223">
        <f>292613</f>
        <v>292613</v>
      </c>
      <c r="E35" s="84"/>
    </row>
  </sheetData>
  <mergeCells count="3">
    <mergeCell ref="B7:E7"/>
    <mergeCell ref="B34:C34"/>
    <mergeCell ref="B35:C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Приложение № 2</vt:lpstr>
      <vt:lpstr>Приложение № 3</vt:lpstr>
      <vt:lpstr>Приложение № 4</vt:lpstr>
      <vt:lpstr>Приложение № 5</vt:lpstr>
      <vt:lpstr>Приложение № 6</vt:lpstr>
      <vt:lpstr>'Приложение № 5'!Область_печати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2025-09-08T01:24:35Z</dcterms:modified>
</cp:coreProperties>
</file>